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9.wmf" ContentType="image/x-wmf"/>
  <Override PartName="/xl/media/image13.wmf" ContentType="image/x-wmf"/>
  <Override PartName="/xl/media/image2.png" ContentType="image/png"/>
  <Override PartName="/xl/media/image1.wmf" ContentType="image/x-wmf"/>
  <Override PartName="/xl/media/image4.png" ContentType="image/png"/>
  <Override PartName="/xl/media/image3.wmf" ContentType="image/x-wmf"/>
  <Override PartName="/xl/media/image6.png" ContentType="image/png"/>
  <Override PartName="/xl/media/image5.wmf" ContentType="image/x-wmf"/>
  <Override PartName="/xl/media/image8.png" ContentType="image/png"/>
  <Override PartName="/xl/media/image7.wmf" ContentType="image/x-wmf"/>
  <Override PartName="/xl/media/image10.png" ContentType="image/png"/>
  <Override PartName="/xl/media/image11.wmf" ContentType="image/x-wmf"/>
  <Override PartName="/xl/media/image12.png" ContentType="image/png"/>
  <Override PartName="/xl/media/image14.png" ContentType="image/png"/>
  <Override PartName="/xl/media/image15.png" ContentType="image/png"/>
  <Override PartName="/xl/media/image16.wmf" ContentType="image/x-wmf"/>
  <Override PartName="/xl/media/image17.png" ContentType="image/png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_rels/drawing8.xml.rels" ContentType="application/vnd.openxmlformats-package.relationship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STRUÇÕES" sheetId="1" state="visible" r:id="rId2"/>
    <sheet name="SINTÉTICA" sheetId="2" state="visible" r:id="rId3"/>
    <sheet name="ANALÍTICA" sheetId="3" state="visible" r:id="rId4"/>
    <sheet name="ANALÍTICA AUXILIARES" sheetId="4" state="visible" r:id="rId5"/>
    <sheet name="INSUMOS" sheetId="5" state="visible" r:id="rId6"/>
    <sheet name="BDI" sheetId="6" state="visible" r:id="rId7"/>
    <sheet name="CRONOGRAMA" sheetId="7" state="visible" r:id="rId8"/>
    <sheet name="LEIS SOCIAIS" sheetId="8" state="visible" r:id="rId9"/>
  </sheets>
  <externalReferences>
    <externalReference r:id="rId10"/>
  </externalReferences>
  <definedNames>
    <definedName function="false" hidden="false" localSheetId="2" name="_xlnm.Print_Area" vbProcedure="false">ANALÍTICA!$A$1:$J$239</definedName>
    <definedName function="false" hidden="false" localSheetId="2" name="_xlnm.Print_Titles" vbProcedure="false">ANALÍTICA!$12:$13</definedName>
    <definedName function="false" hidden="false" localSheetId="3" name="_xlnm.Print_Area" vbProcedure="false">'ANALÍTICA AUXILIARES'!$A$1:$J$406</definedName>
    <definedName function="false" hidden="false" localSheetId="3" name="_xlnm.Print_Titles" vbProcedure="false">'ANALÍTICA AUXILIARES'!$12:$13</definedName>
    <definedName function="false" hidden="false" localSheetId="5" name="_xlnm.Print_Area" vbProcedure="false">BDI!$A$1:$D$23</definedName>
    <definedName function="false" hidden="false" localSheetId="6" name="_xlnm.Print_Area" vbProcedure="false">CRONOGRAMA!$A$1:$I$19</definedName>
    <definedName function="false" hidden="false" localSheetId="6" name="_xlnm.Print_Titles" vbProcedure="false">CRONOGRAMA!$A:$C</definedName>
    <definedName function="false" hidden="false" localSheetId="0" name="_xlnm.Print_Area" vbProcedure="false">INSTRUÇÕES!$A$1:$E$27</definedName>
    <definedName function="false" hidden="false" localSheetId="4" name="_xlnm.Print_Area" vbProcedure="false">INSUMOS!$A$1:$I$90</definedName>
    <definedName function="false" hidden="false" localSheetId="4" name="_xlnm.Print_Titles" vbProcedure="false">INSUMOS!$9:$10</definedName>
    <definedName function="false" hidden="false" localSheetId="1" name="_xlnm.Print_Area" vbProcedure="false">SINTÉTICA!$A$1:$J$58</definedName>
    <definedName function="false" hidden="false" localSheetId="1" name="_xlnm.Print_Titles" vbProcedure="false">SINTÉTICA!$12:$13</definedName>
    <definedName function="false" hidden="false" localSheetId="1" name="_xlnm.Print_Titles" vbProcedure="false">SINTÉTICA!$12:$13</definedName>
    <definedName function="false" hidden="false" localSheetId="2" name="_xlnm.Print_Titles" vbProcedure="false">ANALÍTICA!$12:$13</definedName>
    <definedName function="false" hidden="false" localSheetId="3" name="_xlnm.Print_Titles" vbProcedure="false">'ANALÍTICA AUXILIARES'!$12:$13</definedName>
    <definedName function="false" hidden="false" localSheetId="3" name="_xlnm._FilterDatabase" vbProcedure="false">'ANALÍTICA AUXILIARES'!$A$16:$K$26</definedName>
    <definedName function="false" hidden="false" localSheetId="4" name="_xlnm.Print_Titles" vbProcedure="false">INSUMOS!$9:$10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<sst xmlns="http://schemas.openxmlformats.org/spreadsheetml/2006/main" count="2758" uniqueCount="673">
  <si>
    <t xml:space="preserve">PROCURADORIA GERAL DA REPÚBLICA</t>
  </si>
  <si>
    <t xml:space="preserve">SECRETARIA DE ENGENHARIA E ARQUITETURA</t>
  </si>
  <si>
    <t xml:space="preserve">OBRA: SFCR DA PROCURADORIA DA REPÚBLICA EM GOIÁS (PR-GO)</t>
  </si>
  <si>
    <t xml:space="preserve">INSTRUÇÕES PARA O PREENCHIMENTO DA PLANILHA</t>
  </si>
  <si>
    <t xml:space="preserve">A PLANILHA NÃO DEVE SER DESBLOQUEADA. </t>
  </si>
  <si>
    <t xml:space="preserve">O CABEÇALHO ENCONTRA-SE DESBLOQUEADO PARA PERMITIR A TROCA DO LOGOTIPO.</t>
  </si>
  <si>
    <t xml:space="preserve">PARA O LICITANTE COMPOR A SUA PROPOSTA BASTA APLICAR O PERCENTUAL DE DESCONTO NO FINAL DA PLANILHA SINTÉTICA (CÉLULA VERDE). DESSA FORMA TODAS AS ABAS DA PLANILHA SÃO ATUALIZADAS AUTOMATICAMENTE.</t>
  </si>
  <si>
    <r>
      <rPr>
        <b val="true"/>
        <sz val="10"/>
        <color rgb="FF0070C0"/>
        <rFont val="Arial"/>
        <family val="2"/>
        <charset val="1"/>
      </rPr>
      <t xml:space="preserve">(OPCIONAL - ABA "ANALÍTICA")</t>
    </r>
    <r>
      <rPr>
        <b val="true"/>
        <sz val="10"/>
        <rFont val="Arial"/>
        <family val="2"/>
        <charset val="1"/>
      </rPr>
      <t xml:space="preserve"> NA PLANILHA ANALÍTICA O LICITANTE PODE ALTERAR OS COEFICIENTES DE TODOS OS INSUMOS QUE FAZEM PARTE DAS COMPOSIÇÕES.</t>
    </r>
  </si>
  <si>
    <r>
      <rPr>
        <b val="true"/>
        <sz val="10"/>
        <color rgb="FF0070C0"/>
        <rFont val="Arial"/>
        <family val="2"/>
        <charset val="1"/>
      </rPr>
      <t xml:space="preserve">(OPCIONAL - ABA "ANALÍTICA AUXILIARES")</t>
    </r>
    <r>
      <rPr>
        <b val="true"/>
        <sz val="10"/>
        <rFont val="Arial"/>
        <family val="2"/>
        <charset val="1"/>
      </rPr>
      <t xml:space="preserve"> NA PLANILHA ANALÍTICA AUXILIAR O LICITANTE PODE ALTERAR OS COEFICIENTES DE TODOS OS INSUMOS QUE FAZEM PARTE DAS COMPOSIÇÕES.</t>
    </r>
  </si>
  <si>
    <r>
      <rPr>
        <b val="true"/>
        <sz val="10"/>
        <color rgb="FF0070C0"/>
        <rFont val="Arial"/>
        <family val="2"/>
        <charset val="1"/>
      </rPr>
      <t xml:space="preserve">(OPCIONAL - ABA "INSUMOS")</t>
    </r>
    <r>
      <rPr>
        <b val="true"/>
        <sz val="10"/>
        <rFont val="Arial"/>
        <family val="2"/>
        <charset val="1"/>
      </rPr>
      <t xml:space="preserve"> OS VALORES UNITÁRIOS DOS INSUMOS PODEM SER ALTERADOS DE FORMA INDIVIDUAL NA ABA "INSUMOS". OS VALORES UNITÁRIOS DOS INSUMOS PODEM SER INSERIDOS SOBRE AS FÓRMULAS PRESENTES NAS CÉLULAS VERDES.</t>
    </r>
  </si>
  <si>
    <r>
      <rPr>
        <b val="true"/>
        <sz val="10"/>
        <color rgb="FF0070C0"/>
        <rFont val="Arial"/>
        <family val="2"/>
        <charset val="1"/>
      </rPr>
      <t xml:space="preserve">(OPCIONAL - ABA "BDI")</t>
    </r>
    <r>
      <rPr>
        <b val="true"/>
        <sz val="10"/>
        <rFont val="Arial"/>
        <family val="2"/>
        <charset val="1"/>
      </rPr>
      <t xml:space="preserve"> OS PERCENTUAIS DO BDI PODEM SER ALTERADOS NAS CÉLULAS VERDES.</t>
    </r>
  </si>
  <si>
    <r>
      <rPr>
        <b val="true"/>
        <sz val="10"/>
        <color rgb="FF0070C0"/>
        <rFont val="Arial"/>
        <family val="2"/>
        <charset val="1"/>
      </rPr>
      <t xml:space="preserve">(OPCIONAL - ABA "CRONOGRAMA")</t>
    </r>
    <r>
      <rPr>
        <b val="true"/>
        <sz val="10"/>
        <rFont val="Arial"/>
        <family val="2"/>
        <charset val="1"/>
      </rPr>
      <t xml:space="preserve"> OS PERCENTUAIS DO CRONOGRAMA PODEM SER ALTERADOS NAS CÉLULAS VERDES.</t>
    </r>
  </si>
  <si>
    <r>
      <rPr>
        <b val="true"/>
        <sz val="10"/>
        <color rgb="FF0070C0"/>
        <rFont val="Arial"/>
        <family val="2"/>
        <charset val="1"/>
      </rPr>
      <t xml:space="preserve">(OPCIONAL - ABA "LEIS SOCIAIS")</t>
    </r>
    <r>
      <rPr>
        <b val="true"/>
        <sz val="10"/>
        <rFont val="Arial"/>
        <family val="2"/>
        <charset val="1"/>
      </rPr>
      <t xml:space="preserve"> CONFORME O REGIME DE TRIBUTAÇÃO DA EMPRESA OS PERCENTUAIS DAS LEIS SOCIAIS PODEM SER ALTERADOS NAS CÉLULAS VERDES. (ESSA ALTERAÇÃO NÃO MUDA O VALOR DA PROPOSTA)</t>
    </r>
  </si>
  <si>
    <t xml:space="preserve">PLANILHA SINTÉTICA (COM BDI)</t>
  </si>
  <si>
    <t xml:space="preserve">LEIS SOCIAIS DESONERADAS - REFERÊNCIA HORISTA SINAPI: LS</t>
  </si>
  <si>
    <t xml:space="preserve">BENEFÍCIOS E DESPESAS INDIRETAS: BDI</t>
  </si>
  <si>
    <t xml:space="preserve">REFERÊNCIA: SINAPI - GO - MAIO/22 (NÃO-DESONERADA)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</si>
  <si>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</si>
  <si>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</si>
  <si>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</si>
  <si>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</si>
  <si>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</si>
  <si>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</si>
  <si>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 SEM BDI</t>
  </si>
  <si>
    <t xml:space="preserve">VALOR UNIT COM BDI</t>
  </si>
  <si>
    <t xml:space="preserve">TOTAL                  COM BDI</t>
  </si>
  <si>
    <t xml:space="preserve">PESO (%)</t>
  </si>
  <si>
    <t xml:space="preserve"> 1 </t>
  </si>
  <si>
    <t xml:space="preserve">SERVIÇOS PRELIMINARES</t>
  </si>
  <si>
    <t xml:space="preserve"> 1.1 </t>
  </si>
  <si>
    <t xml:space="preserve">PLACA DE OBRA</t>
  </si>
  <si>
    <t xml:space="preserve"> 1.1.1 </t>
  </si>
  <si>
    <t xml:space="preserve"> 74209/001 </t>
  </si>
  <si>
    <t xml:space="preserve"> 1.2 </t>
  </si>
  <si>
    <t xml:space="preserve">CANTEIRO DE OBRA</t>
  </si>
  <si>
    <t xml:space="preserve"> 1.2.1 </t>
  </si>
  <si>
    <t xml:space="preserve"> 73847/001 </t>
  </si>
  <si>
    <t xml:space="preserve"> 1.2.2 </t>
  </si>
  <si>
    <t xml:space="preserve"> S-PRE-LOCA-30132 </t>
  </si>
  <si>
    <t xml:space="preserve"> 1.3 </t>
  </si>
  <si>
    <t xml:space="preserve">DEMOLIÇÕES</t>
  </si>
  <si>
    <t xml:space="preserve"> 1.3.1 </t>
  </si>
  <si>
    <t xml:space="preserve"> 90440 </t>
  </si>
  <si>
    <t xml:space="preserve"> 2 </t>
  </si>
  <si>
    <t xml:space="preserve">SISTEMA FOTOVOLTAICO CONECTADO À REDE</t>
  </si>
  <si>
    <t xml:space="preserve"> 2.1 </t>
  </si>
  <si>
    <t xml:space="preserve">APROVAÇÃO DE PROJETO NA CONCESSIONÁRIA</t>
  </si>
  <si>
    <t xml:space="preserve"> 2.1.1 </t>
  </si>
  <si>
    <t xml:space="preserve"> S-ELE-SFCR-PGR-12 </t>
  </si>
  <si>
    <t xml:space="preserve"> 2.2 </t>
  </si>
  <si>
    <t xml:space="preserve">MONTAGEM DO SISTEMA FOTOVOLTAICO</t>
  </si>
  <si>
    <t xml:space="preserve"> 2.2.1 </t>
  </si>
  <si>
    <t xml:space="preserve"> S-ELE-SFCR-PGR-34 </t>
  </si>
  <si>
    <t xml:space="preserve"> 2.2.2 </t>
  </si>
  <si>
    <t xml:space="preserve"> S-ELE-SFCR-PGR-25 </t>
  </si>
  <si>
    <t xml:space="preserve"> 2.2.3 </t>
  </si>
  <si>
    <t xml:space="preserve"> S-ELE-SFCR-PGR-26 </t>
  </si>
  <si>
    <t xml:space="preserve"> 2.3 </t>
  </si>
  <si>
    <t xml:space="preserve">INFRAESTRUTURA</t>
  </si>
  <si>
    <t xml:space="preserve"> 2.3.1 </t>
  </si>
  <si>
    <t xml:space="preserve"> S-ELE-INFR-EL-F-P-50 </t>
  </si>
  <si>
    <t xml:space="preserve"> 2.3.2 </t>
  </si>
  <si>
    <t xml:space="preserve"> S-ELE-INFR-025 </t>
  </si>
  <si>
    <t xml:space="preserve"> 2.3.3 </t>
  </si>
  <si>
    <t xml:space="preserve"> S-ELE-SFCR-PGR-16 </t>
  </si>
  <si>
    <t xml:space="preserve"> 2.3.4 </t>
  </si>
  <si>
    <t xml:space="preserve"> S-HID-DIVE-SUP-HOR-03 </t>
  </si>
  <si>
    <t xml:space="preserve"> 2.3.5 </t>
  </si>
  <si>
    <t xml:space="preserve"> S-ELE-SFCR-PGR-38 </t>
  </si>
  <si>
    <t xml:space="preserve"> 2.4 </t>
  </si>
  <si>
    <t xml:space="preserve">ATERRAMENTO DOS MÓDULOS</t>
  </si>
  <si>
    <t xml:space="preserve"> 2.4.1 </t>
  </si>
  <si>
    <t xml:space="preserve"> S-ELE-SFCR-PGR-17 </t>
  </si>
  <si>
    <t xml:space="preserve"> 2.4.2 </t>
  </si>
  <si>
    <t xml:space="preserve"> S-ELE-SFCR-PGR-09 </t>
  </si>
  <si>
    <t xml:space="preserve"> 2.5 </t>
  </si>
  <si>
    <t xml:space="preserve">CONEXÃO CA DOS INVERSORES</t>
  </si>
  <si>
    <t xml:space="preserve"> 2.5.1 </t>
  </si>
  <si>
    <t xml:space="preserve"> S-ELE-SFCR-PRGO-001 </t>
  </si>
  <si>
    <t xml:space="preserve"> 2.5.2 </t>
  </si>
  <si>
    <t xml:space="preserve"> S-ELE-SFCR-PRGO-002 </t>
  </si>
  <si>
    <t xml:space="preserve"> 2.6 </t>
  </si>
  <si>
    <t xml:space="preserve">INTERLIGAÇÃO COM A REDE EXISTENTE</t>
  </si>
  <si>
    <t xml:space="preserve"> 2.6.1 </t>
  </si>
  <si>
    <t xml:space="preserve"> 2.7</t>
  </si>
  <si>
    <t xml:space="preserve">COMISSIONAMENTO</t>
  </si>
  <si>
    <t xml:space="preserve"> 2.7.1 </t>
  </si>
  <si>
    <t xml:space="preserve"> S-ELE-SFCR-PGR-20 </t>
  </si>
  <si>
    <t xml:space="preserve"> </t>
  </si>
  <si>
    <t xml:space="preserve"> 2.9 </t>
  </si>
  <si>
    <t xml:space="preserve">AS BUILT</t>
  </si>
  <si>
    <t xml:space="preserve"> 2.9.1 </t>
  </si>
  <si>
    <t xml:space="preserve"> S-ELE-SFCR-PGR-29 </t>
  </si>
  <si>
    <t xml:space="preserve"> 3 </t>
  </si>
  <si>
    <t xml:space="preserve">ADMINISTRAÇÃO DE OBRA</t>
  </si>
  <si>
    <t xml:space="preserve"> 3.1 </t>
  </si>
  <si>
    <t xml:space="preserve">ADMINISTRAÇÃO LOCAL</t>
  </si>
  <si>
    <t xml:space="preserve"> 3.1.1 </t>
  </si>
  <si>
    <t xml:space="preserve"> 91677 </t>
  </si>
  <si>
    <t xml:space="preserve">TOTAL GERAL ORIGINAL (c/ BDI):</t>
  </si>
  <si>
    <t xml:space="preserve">DESCONTO LINEAR DA EMPRESA (%)</t>
  </si>
  <si>
    <t xml:space="preserve">PROPOSTA DA EMPRESA (c/ BDI):</t>
  </si>
  <si>
    <t xml:space="preserve">DESCONTO EFETIVO DA PROPOSTA (%)*:</t>
  </si>
  <si>
    <t xml:space="preserve">* O DESCONTO EFETIVO LEVA EM CONSIDERAÇÃO O DESCONTO LINEAR, AS ALTERAÇÕES MANUAIS NOS PREÇOS DOS INSUMOS E AS ALTERAÇÕES NOS COEFICIENTES DE PRODUTIVIDADE APRESENTADOS NAS PLANILHAS ANALÍTICAS.</t>
  </si>
  <si>
    <t xml:space="preserve">PLANILHA ANALÍTICA</t>
  </si>
  <si>
    <t xml:space="preserve">TIPO</t>
  </si>
  <si>
    <t xml:space="preserve">VALOR UNIT</t>
  </si>
  <si>
    <t xml:space="preserve">TOTAL</t>
  </si>
  <si>
    <t xml:space="preserve">CONT</t>
  </si>
  <si>
    <t xml:space="preserve">TOT</t>
  </si>
  <si>
    <t xml:space="preserve">MO</t>
  </si>
  <si>
    <t xml:space="preserve">MAT</t>
  </si>
  <si>
    <t xml:space="preserve">COD</t>
  </si>
  <si>
    <t xml:space="preserve">MO T</t>
  </si>
  <si>
    <t xml:space="preserve">MAT T</t>
  </si>
  <si>
    <t xml:space="preserve">Código</t>
  </si>
  <si>
    <t xml:space="preserve">Banco</t>
  </si>
  <si>
    <t xml:space="preserve">Descrição</t>
  </si>
  <si>
    <t xml:space="preserve">Tipo</t>
  </si>
  <si>
    <t xml:space="preserve">Und</t>
  </si>
  <si>
    <t xml:space="preserve">Quant.</t>
  </si>
  <si>
    <t xml:space="preserve">Composição</t>
  </si>
  <si>
    <t xml:space="preserve">SINAPI</t>
  </si>
  <si>
    <t xml:space="preserve">AJUDANTE DE CARPINTEIRO COM ENCARGOS COMPLEMENTARES</t>
  </si>
  <si>
    <t xml:space="preserve">SEDI - SERVIÇOS DIVERSOS</t>
  </si>
  <si>
    <t xml:space="preserve">H</t>
  </si>
  <si>
    <t xml:space="preserve">Composição Auxiliar</t>
  </si>
  <si>
    <t xml:space="preserve">CURSO DE CAPACITAÇÃO PARA AJUDANTE DE CARPINTEIRO (ENCARGOS COMPLEMENTARES) - HORISTA</t>
  </si>
  <si>
    <t xml:space="preserve">Insumo</t>
  </si>
  <si>
    <t xml:space="preserve"> 00037370 </t>
  </si>
  <si>
    <t xml:space="preserve">Valor Unit</t>
  </si>
  <si>
    <t xml:space="preserve">Total</t>
  </si>
  <si>
    <t xml:space="preserve">PLACA DE OBRA EM CHAPA DE ACO GALVANIZADO</t>
  </si>
  <si>
    <t xml:space="preserve">CANT - CANTEIRO DE OBRAS</t>
  </si>
  <si>
    <t xml:space="preserve">m²</t>
  </si>
  <si>
    <t xml:space="preserve">Valor com BDI =&gt;</t>
  </si>
  <si>
    <t xml:space="preserve"> 94962 </t>
  </si>
  <si>
    <t xml:space="preserve">CONCRETO MAGRO PARA LASTRO, TRAÇO 1:4,5:4,5 (EM MASSA SECA DE CIMENTO/ AREIA MÉDIA/ BRITA 1) - PREPARO MECÂNICO COM BETONEIRA 400 L. AF_05/2021</t>
  </si>
  <si>
    <t xml:space="preserve">FUES - FUNDAÇÕES E ESTRUTURAS</t>
  </si>
  <si>
    <t xml:space="preserve">m³</t>
  </si>
  <si>
    <t xml:space="preserve">Quant. =&gt;</t>
  </si>
  <si>
    <t xml:space="preserve">Preço Total =&gt;</t>
  </si>
  <si>
    <t xml:space="preserve"> 88316 </t>
  </si>
  <si>
    <t xml:space="preserve">SERVENTE COM ENCARGOS COMPLEMENTARES</t>
  </si>
  <si>
    <t xml:space="preserve"> 88262 </t>
  </si>
  <si>
    <t xml:space="preserve">CARPINTEIRO DE FORMAS COM ENCARGOS COMPLEMENTARES</t>
  </si>
  <si>
    <t xml:space="preserve"> 00004813 </t>
  </si>
  <si>
    <t xml:space="preserve"> 00004491 </t>
  </si>
  <si>
    <t xml:space="preserve"> 00005075 </t>
  </si>
  <si>
    <t xml:space="preserve"> 00004417 </t>
  </si>
  <si>
    <t xml:space="preserve">ALUGUEL CONTAINER/ESCRIT INCL INST ELET LARG=2,20 COMP=6,20M          ALT=2,50M CHAPA ACO C/NERV TRAPEZ FORRO C/ISOL TERMO/ACUSTICO         CHASSIS REFORC PISO COMPENS NAVAL EXC TRANSP/CARGA/DESCARGA</t>
  </si>
  <si>
    <t xml:space="preserve">MES</t>
  </si>
  <si>
    <t xml:space="preserve"> 00010776 </t>
  </si>
  <si>
    <t xml:space="preserve">Próprio</t>
  </si>
  <si>
    <t xml:space="preserve">MOBILIZAÇÃO E DESMOBILIZAÇÃO DE CONTAINER</t>
  </si>
  <si>
    <t xml:space="preserve">UN</t>
  </si>
  <si>
    <t xml:space="preserve"> INSUMO-PRELIM-001 </t>
  </si>
  <si>
    <t xml:space="preserve">FURO EM CONCRETO PARA DIÂMETROS MAIORES QUE 40 MM E MENORES OU IGUAIS A 75 MM. AF_05/2015</t>
  </si>
  <si>
    <t xml:space="preserve">INHI - INSTALAÇÕES HIDROS SANITÁRIAS</t>
  </si>
  <si>
    <t xml:space="preserve"> 5952 </t>
  </si>
  <si>
    <t xml:space="preserve">MARTELETE OU ROMPEDOR PNEUMÁTICO MANUAL, 28 KG, COM SILENCIADOR - CHI DIURNO. AF_07/2016</t>
  </si>
  <si>
    <t xml:space="preserve">CHOR - CUSTOS HORÁRIOS DE MÁQUINAS E EQUIPAMENTOS</t>
  </si>
  <si>
    <t xml:space="preserve">CHI</t>
  </si>
  <si>
    <t xml:space="preserve"> 5795 </t>
  </si>
  <si>
    <t xml:space="preserve">MARTELETE OU ROMPEDOR PNEUMÁTICO MANUAL, 28 KG, COM SILENCIADOR - CHP DIURNO. AF_07/2016</t>
  </si>
  <si>
    <t xml:space="preserve">CHP</t>
  </si>
  <si>
    <t xml:space="preserve"> 88248 </t>
  </si>
  <si>
    <t xml:space="preserve">AUXILIAR DE ENCANADOR OU BOMBEIRO HIDRÁULICO COM ENCARGOS COMPLEMENTARES</t>
  </si>
  <si>
    <t xml:space="preserve"> 88267 </t>
  </si>
  <si>
    <t xml:space="preserve">ENCANADOR OU BOMBEIRO HIDRÁULICO COM ENCARGOS COMPLEMENTARES</t>
  </si>
  <si>
    <t xml:space="preserve">INEL - INSTALAÇÃO ELÉTRICA/ELETRIFICAÇÃO E ILUMINAÇÃO EXTERNA</t>
  </si>
  <si>
    <t xml:space="preserve">UNIDADE</t>
  </si>
  <si>
    <t xml:space="preserve">ENGENHEIRO ELETRICISTA COM ENCARGOS COMPLEMENTARES</t>
  </si>
  <si>
    <t xml:space="preserve"> 90775 </t>
  </si>
  <si>
    <t xml:space="preserve">DESENHISTA PROJETISTA COM ENCARGOS COMPLEMENTARES</t>
  </si>
  <si>
    <t xml:space="preserve"> I-ELE-SFCR-PGR-18 </t>
  </si>
  <si>
    <t xml:space="preserve"> I-ELE-SFCR-PGR-19 </t>
  </si>
  <si>
    <t xml:space="preserve">KIT GERADOR FOTOVOLTAICO (INVERSOR, STRING-BOX, MÓDULOS, CABOS, CONECTORES, ESTRUTURA DE FIXAÇÃO E MONITORAMENTO) PARA MONTAGEM EM TELHADO METÁLICO TRAPEZOIDAL - FORNECIMENTO E INSTALAÇÃO</t>
  </si>
  <si>
    <t xml:space="preserve">kWp</t>
  </si>
  <si>
    <t xml:space="preserve"> 88247 </t>
  </si>
  <si>
    <t xml:space="preserve">AUXILIAR DE ELETRICISTA COM ENCARGOS COMPLEMENTARES</t>
  </si>
  <si>
    <t xml:space="preserve"> 88264 </t>
  </si>
  <si>
    <t xml:space="preserve">ELETRICISTA COM ENCARGOS COMPLEMENTARES</t>
  </si>
  <si>
    <t xml:space="preserve"> I-ELE-SFCR-PGR-20 </t>
  </si>
  <si>
    <t xml:space="preserve">PLACA DE AVISO DE GERAÇÃO PRÓPRIA - FORNECIMENTO E INSTALAÇÃO</t>
  </si>
  <si>
    <t xml:space="preserve"> 11922 </t>
  </si>
  <si>
    <t xml:space="preserve"> 12421 </t>
  </si>
  <si>
    <t xml:space="preserve">IÇAMENTO DE MÓDULOS FOTOVOLTAICOS PARA A COBERTURA DA EDIFICAÇÃO</t>
  </si>
  <si>
    <t xml:space="preserve"> 88286 </t>
  </si>
  <si>
    <t xml:space="preserve">MOTORISTA OPERADOR DE MUNCK COM ENCARGOS COMPLEMENTARES</t>
  </si>
  <si>
    <t xml:space="preserve"> 93402 </t>
  </si>
  <si>
    <t xml:space="preserve">GUINDAUTO HIDRÁULICO, CAPACIDADE MÁXIMA DE CARGA 3300 KG, MOMENTO MÁXIMO DE CARGA 5,8 TM, ALCANCE MÁXIMO HORIZONTAL 7,60 M, INCLUSIVE CAMINHÃO TOCO PBT 16.000 KG, POTÊNCIA DE 189 CV - CHP DIURNO. AF_03/2016</t>
  </si>
  <si>
    <t xml:space="preserve"> 93403 </t>
  </si>
  <si>
    <t xml:space="preserve">GUINDAUTO HIDRÁULICO, CAPACIDADE MÁXIMA DE CARGA 3300 KG, MOMENTO MÁXIMO DE CARGA 5,8 TM, ALCANCE MÁXIMO HORIZONTAL 7,60 M, INCLUSIVE CAMINHÃO TOCO PBT 16.000 KG, POTÊNCIA DE 189 CV - CHI DIURNO. AF_03/2016</t>
  </si>
  <si>
    <t xml:space="preserve">ELETRODUTO EM ACO GALVANIZADO A FOGO (IMERSÃO A QUENTE), PESADO, PAREDE DE 2,25 MM - DIAMETRO NOMINAL 50 (2") - NBR 5624 - INCLUSIVE CONEXOES - FORNECIMENTO E INSTALACAO</t>
  </si>
  <si>
    <t xml:space="preserve">M</t>
  </si>
  <si>
    <t xml:space="preserve"> P.04.000.042127 </t>
  </si>
  <si>
    <t xml:space="preserve">CONDULETE DE ALUMÍNIO PARA ELETRODUTO 2" COM TAMPA CEGA - FORNECIMENTO E INSTALAÇÃO</t>
  </si>
  <si>
    <t xml:space="preserve"> 00002596 </t>
  </si>
  <si>
    <t xml:space="preserve">CAIXA DE PASSAGEM METALICA DE SOBREPOR COM TAMPA PARAFUSADA, DIMENSOES 30 X 30 X 10 CM - FORNECIMENTO E INSTALAÇÃO</t>
  </si>
  <si>
    <t xml:space="preserve"> 00039772 </t>
  </si>
  <si>
    <t xml:space="preserve">SUPORTE PARA TUBOS/ DUTOS/ ELETROCALHA HORIZONTAIS (CHUMBADORES, TIRANTES, PERFILADO E ABRAÇADEIRA) - FORNECIMENTO E INSTALAÇÃO</t>
  </si>
  <si>
    <t xml:space="preserve">INES - INSTALAÇÕES ESPECIAIS</t>
  </si>
  <si>
    <t xml:space="preserve"> 88309 </t>
  </si>
  <si>
    <t xml:space="preserve">PEDREIRO COM ENCARGOS COMPLEMENTARES</t>
  </si>
  <si>
    <t xml:space="preserve"> 00011964 </t>
  </si>
  <si>
    <t xml:space="preserve"> 9783 </t>
  </si>
  <si>
    <t xml:space="preserve"> 11072 </t>
  </si>
  <si>
    <t xml:space="preserve"> 00039028 </t>
  </si>
  <si>
    <t xml:space="preserve"> 00004342 </t>
  </si>
  <si>
    <t xml:space="preserve"> 00039145 </t>
  </si>
  <si>
    <t xml:space="preserve"> 00039142 </t>
  </si>
  <si>
    <t xml:space="preserve"> 2.3.6 </t>
  </si>
  <si>
    <t xml:space="preserve">ELETRODUTO METÁLICO EMBORRACHADO TIPO SEALTUBO COM 1" DE DIÂMETRO FIXADO COM ABRAÇADEIRA METÁLICA - FORNECIMENTO E INSTALAÇÃO</t>
  </si>
  <si>
    <t xml:space="preserve">METRO</t>
  </si>
  <si>
    <t xml:space="preserve"> 00002501 </t>
  </si>
  <si>
    <t xml:space="preserve"> 00000393 </t>
  </si>
  <si>
    <t xml:space="preserve">CONJUNTO PARA ATERRAMENTO DE MÓDULO FOTOVOLTAICO - FORNECIMENTO E INSTALAÇÃO</t>
  </si>
  <si>
    <t xml:space="preserve"> 12428 </t>
  </si>
  <si>
    <t xml:space="preserve"> 12430 </t>
  </si>
  <si>
    <t xml:space="preserve"> 12431 </t>
  </si>
  <si>
    <t xml:space="preserve"> 11051 </t>
  </si>
  <si>
    <t xml:space="preserve"> 00000982 </t>
  </si>
  <si>
    <t xml:space="preserve"> 00001573 </t>
  </si>
  <si>
    <t xml:space="preserve">CORDOALHA DE COBRE NU 16 mm² - FORNECIMENTO E INSTALAÇÃO</t>
  </si>
  <si>
    <t xml:space="preserve"> 00000857 </t>
  </si>
  <si>
    <t xml:space="preserve">QUADRO CA PARA 1 INVERSOR (SEM GMG) - FORNECIMENTO E INSTALAÇÃO</t>
  </si>
  <si>
    <t xml:space="preserve"> 88266 </t>
  </si>
  <si>
    <t xml:space="preserve">ELETROTÉCNICO COM ENCARGOS COMPLEMENTARES</t>
  </si>
  <si>
    <t xml:space="preserve"> 00012041 </t>
  </si>
  <si>
    <t xml:space="preserve"> 00034653 </t>
  </si>
  <si>
    <t xml:space="preserve"> 00039471 </t>
  </si>
  <si>
    <t xml:space="preserve"> 00001574 </t>
  </si>
  <si>
    <t xml:space="preserve"> 00001575 </t>
  </si>
  <si>
    <t xml:space="preserve"> I-ELE-DISJUNTOR-001 </t>
  </si>
  <si>
    <t xml:space="preserve">CONEXÃO ELÉTRICA COM CABOS UNIPOLARES EM COBRE - 3#10(10)T10 mm² - 0,6/1 kV - FORNECIMENTO E INSTALAÇÃO</t>
  </si>
  <si>
    <t xml:space="preserve"> 101885 </t>
  </si>
  <si>
    <t xml:space="preserve">CABO DE COBRE ISOLADO, 10 MM², ANTI-CHAMA 0,6/1 KV, INSTALADO EM ELETROCALHA OU PERFILADO - FORNECIMENTO E INSTALAÇÃO. AF_10/2020</t>
  </si>
  <si>
    <t xml:space="preserve"> 00021127 </t>
  </si>
  <si>
    <t xml:space="preserve"> 2.7 </t>
  </si>
  <si>
    <t xml:space="preserve">COMISSIONAMENTO DE SFCR</t>
  </si>
  <si>
    <t xml:space="preserve"> 95407 </t>
  </si>
  <si>
    <t xml:space="preserve">CURSO DE CAPACITAÇÃO PARA ENGENHEIRO ELETRICISTA (ENCARGOS COMPLEMENTARES) - HORISTA</t>
  </si>
  <si>
    <t xml:space="preserve"> 00034783 </t>
  </si>
  <si>
    <t xml:space="preserve"> 00043486 </t>
  </si>
  <si>
    <t xml:space="preserve"> 00037372 </t>
  </si>
  <si>
    <t xml:space="preserve"> 00043462 </t>
  </si>
  <si>
    <t xml:space="preserve"> 00037373 </t>
  </si>
  <si>
    <t xml:space="preserve">PLANILHA ANALÍTICA - COMPOSIÇÕES AUXILIARES (SEM BDI)</t>
  </si>
  <si>
    <t xml:space="preserve">TOTAL SEM BDI</t>
  </si>
  <si>
    <t xml:space="preserve"> 95316 </t>
  </si>
  <si>
    <t xml:space="preserve">CURSO DE CAPACITAÇÃO PARA AUXILIAR DE ELETRICISTA (ENCARGOS COMPLEMENTARES) - HORISTA</t>
  </si>
  <si>
    <t xml:space="preserve"> 00000247 </t>
  </si>
  <si>
    <t xml:space="preserve"> 00043484 </t>
  </si>
  <si>
    <t xml:space="preserve"> 00043460 </t>
  </si>
  <si>
    <t xml:space="preserve"> 00037371 </t>
  </si>
  <si>
    <t xml:space="preserve"> 95317 </t>
  </si>
  <si>
    <t xml:space="preserve">CURSO DE CAPACITAÇÃO PARA AUXILIAR DE ENCANADOR OU BOMBEIRO HIDRÁULICO (ENCARGOS COMPLEMENTARES) - HORISTA</t>
  </si>
  <si>
    <t xml:space="preserve"> 00000246 </t>
  </si>
  <si>
    <t xml:space="preserve"> 00043485 </t>
  </si>
  <si>
    <t xml:space="preserve"> 00043461 </t>
  </si>
  <si>
    <t xml:space="preserve"> 88831 </t>
  </si>
  <si>
    <t xml:space="preserve">BETONEIRA CAPACIDADE NOMINAL DE 400 L, CAPACIDADE DE MISTURA 280 L, MOTOR ELÉTRICO TRIFÁSICO POTÊNCIA DE 2 CV, SEM CARREGADOR - CHI DIURNO. AF_10/2014</t>
  </si>
  <si>
    <t xml:space="preserve"> 88827 </t>
  </si>
  <si>
    <t xml:space="preserve">BETONEIRA CAPACIDADE NOMINAL DE 400 L, CAPACIDADE DE MISTURA 280 L, MOTOR ELÉTRICO TRIFÁSICO POTÊNCIA DE 2 CV, SEM CARREGADOR - JUROS. AF_10/2014</t>
  </si>
  <si>
    <t xml:space="preserve"> 88826 </t>
  </si>
  <si>
    <t xml:space="preserve">BETONEIRA CAPACIDADE NOMINAL DE 400 L, CAPACIDADE DE MISTURA 280 L, MOTOR ELÉTRICO TRIFÁSICO POTÊNCIA DE 2 CV, SEM CARREGADOR - DEPRECIAÇÃO. AF_10/2014</t>
  </si>
  <si>
    <t xml:space="preserve"> 88830 </t>
  </si>
  <si>
    <t xml:space="preserve">BETONEIRA CAPACIDADE NOMINAL DE 400 L, CAPACIDADE DE MISTURA 280 L, MOTOR ELÉTRICO TRIFÁSICO POTÊNCIA DE 2 CV, SEM CARREGADOR - CHP DIURNO. AF_10/2014</t>
  </si>
  <si>
    <t xml:space="preserve"> 88828 </t>
  </si>
  <si>
    <t xml:space="preserve">BETONEIRA CAPACIDADE NOMINAL DE 400 L, CAPACIDADE DE MISTURA 280 L, MOTOR ELÉTRICO TRIFÁSICO POTÊNCIA DE 2 CV, SEM CARREGADOR - MANUTENÇÃO. AF_10/2014</t>
  </si>
  <si>
    <t xml:space="preserve"> 88829 </t>
  </si>
  <si>
    <t xml:space="preserve">BETONEIRA CAPACIDADE NOMINAL DE 400 L, CAPACIDADE DE MISTURA 280 L, MOTOR ELÉTRICO TRIFÁSICO POTÊNCIA DE 2 CV, SEM CARREGADOR - MATERIAIS NA OPERAÇÃO. AF_10/2014</t>
  </si>
  <si>
    <t xml:space="preserve"> 00010535 </t>
  </si>
  <si>
    <t xml:space="preserve"> 00002705 </t>
  </si>
  <si>
    <t xml:space="preserve"> 00001020 </t>
  </si>
  <si>
    <t xml:space="preserve"> 95330 </t>
  </si>
  <si>
    <t xml:space="preserve">CURSO DE CAPACITAÇÃO PARA CARPINTEIRO DE FÔRMAS (ENCARGOS COMPLEMENTARES) - HORISTA</t>
  </si>
  <si>
    <t xml:space="preserve"> 00001213 </t>
  </si>
  <si>
    <t xml:space="preserve"> 00043483 </t>
  </si>
  <si>
    <t xml:space="preserve"> 00043459 </t>
  </si>
  <si>
    <t xml:space="preserve"> 88377 </t>
  </si>
  <si>
    <t xml:space="preserve">OPERADOR DE BETONEIRA ESTACIONÁRIA/MISTURADOR COM ENCARGOS COMPLEMENTARES</t>
  </si>
  <si>
    <t xml:space="preserve"> 00000370 </t>
  </si>
  <si>
    <t xml:space="preserve"> 00001379 </t>
  </si>
  <si>
    <t xml:space="preserve"> 00004721 </t>
  </si>
  <si>
    <t xml:space="preserve"> 95400 </t>
  </si>
  <si>
    <t xml:space="preserve">CURSO DE CAPACITAÇÃO PARA DESENHISTA PROJETISTA (ENCARGOS COMPLEMENTARES) - HORISTA</t>
  </si>
  <si>
    <t xml:space="preserve"> 00002358 </t>
  </si>
  <si>
    <t xml:space="preserve"> 95332 </t>
  </si>
  <si>
    <t xml:space="preserve">CURSO DE CAPACITAÇÃO PARA ELETRICISTA (ENCARGOS COMPLEMENTARES) - HORISTA</t>
  </si>
  <si>
    <t xml:space="preserve"> 00002436 </t>
  </si>
  <si>
    <t xml:space="preserve"> 95334 </t>
  </si>
  <si>
    <t xml:space="preserve">CURSO DE CAPACITAÇÃO PARA ELETROTÉCNICO (ENCARGOS COMPLEMENTARES) - HORISTA</t>
  </si>
  <si>
    <t xml:space="preserve"> 00002438 </t>
  </si>
  <si>
    <t xml:space="preserve"> 95335 </t>
  </si>
  <si>
    <t xml:space="preserve">CURSO DE CAPACITAÇÃO PARA ENCANADOR OU BOMBEIRO HIDRÁULICO (ENCARGOS COMPLEMENTARES) - HORISTA</t>
  </si>
  <si>
    <t xml:space="preserve"> 00002696 </t>
  </si>
  <si>
    <t xml:space="preserve"> 95351 </t>
  </si>
  <si>
    <t xml:space="preserve">CURSO DE CAPACITAÇÃO PARA MOTORISTA OPERADOR DE MUNCK (ENCARGOS COMPLEMENTARES) - HORISTA</t>
  </si>
  <si>
    <t xml:space="preserve"> 00004096 </t>
  </si>
  <si>
    <t xml:space="preserve"> 95389 </t>
  </si>
  <si>
    <t xml:space="preserve">CURSO DE CAPACITAÇÃO PARA OPERADOR DE BETONEIRA ESTACIONÁRIA/MISTURADOR (ENCARGOS COMPLEMENTARES) - HORISTA</t>
  </si>
  <si>
    <t xml:space="preserve"> 00037666 </t>
  </si>
  <si>
    <t xml:space="preserve"> 95361 </t>
  </si>
  <si>
    <t xml:space="preserve">CURSO DE CAPACITAÇÃO PARA OPERADOR DE MARTELETE OU MARTELETEIRO (ENCARGOS COMPLEMENTARES) - HORISTA</t>
  </si>
  <si>
    <t xml:space="preserve"> 00004257 </t>
  </si>
  <si>
    <t xml:space="preserve"> 95371 </t>
  </si>
  <si>
    <t xml:space="preserve">CURSO DE CAPACITAÇÃO PARA PEDREIRO (ENCARGOS COMPLEMENTARES) - HORISTA</t>
  </si>
  <si>
    <t xml:space="preserve"> 00004750 </t>
  </si>
  <si>
    <t xml:space="preserve"> 95378 </t>
  </si>
  <si>
    <t xml:space="preserve">CURSO DE CAPACITAÇÃO PARA SERVENTE (ENCARGOS COMPLEMENTARES) - HORISTA</t>
  </si>
  <si>
    <t xml:space="preserve"> 00006111 </t>
  </si>
  <si>
    <t xml:space="preserve"> 00043493 </t>
  </si>
  <si>
    <t xml:space="preserve"> 00043469 </t>
  </si>
  <si>
    <t xml:space="preserve"> 93399 </t>
  </si>
  <si>
    <t xml:space="preserve">GUINDAUTO HIDRÁULICO, CAPACIDADE MÁXIMA DE CARGA 3300 KG, MOMENTO MÁXIMO DE CARGA 5,8 TM, ALCANCE MÁXIMO HORIZONTAL 7,60 M, INCLUSIVE CAMINHÃO TOCO PBT 16.000 KG, POTÊNCIA DE 189 CV  IMPOSTOS E SEGUROS. AF_03/2016</t>
  </si>
  <si>
    <t xml:space="preserve"> 93397 </t>
  </si>
  <si>
    <t xml:space="preserve">GUINDAUTO HIDRÁULICO, CAPACIDADE MÁXIMA DE CARGA 3300 KG, MOMENTO MÁXIMO DE CARGA 5,8 TM, ALCANCE MÁXIMO HORIZONTAL 7,60 M, INCLUSIVE CAMINHÃO TOCO PBT 16.000 KG, POTÊNCIA DE 189 CV - DEPRECIAÇÃO. AF_03/2016</t>
  </si>
  <si>
    <t xml:space="preserve"> 93398 </t>
  </si>
  <si>
    <t xml:space="preserve">GUINDAUTO HIDRÁULICO, CAPACIDADE MÁXIMA DE CARGA 3300 KG, MOMENTO MÁXIMO DE CARGA 5,8 TM, ALCANCE MÁXIMO HORIZONTAL 7,60 M, INCLUSIVE CAMINHÃO TOCO PBT 16.000 KG, POTÊNCIA DE 189 CV - JUROS. AF_03/2016</t>
  </si>
  <si>
    <t xml:space="preserve"> 93400 </t>
  </si>
  <si>
    <t xml:space="preserve">GUINDAUTO HIDRÁULICO, CAPACIDADE MÁXIMA DE CARGA 3300 KG, MOMENTO MÁXIMO DE CARGA 5,8 TM, ALCANCE MÁXIMO HORIZONTAL 7,60 M, INCLUSIVE CAMINHÃO TOCO PBT 16.000 KG, POTÊNCIA DE 189 CV - MANUTENÇÃO. AF_03/2016</t>
  </si>
  <si>
    <t xml:space="preserve"> 93401 </t>
  </si>
  <si>
    <t xml:space="preserve">GUINDAUTO HIDRÁULICO, CAPACIDADE MÁXIMA DE CARGA 3300 KG, MOMENTO MÁXIMO DE CARGA 5,8 TM, ALCANCE MÁXIMO HORIZONTAL 7,60 M, INCLUSIVE CAMINHÃO TOCO PBT 16.000 KG, POTÊNCIA DE 189 CV - MATERIAIS NA OPERAÇÃO. AF_03/2016</t>
  </si>
  <si>
    <t xml:space="preserve"> 00037752 </t>
  </si>
  <si>
    <t xml:space="preserve"> 00010712 </t>
  </si>
  <si>
    <t xml:space="preserve"> 00004221 </t>
  </si>
  <si>
    <t xml:space="preserve"> 95115 </t>
  </si>
  <si>
    <t xml:space="preserve">MARTELETE OU ROMPEDOR PNEUMÁTICO MANUAL, 28 KG, COM SILENCIADOR - JUROS. AF_07/2016</t>
  </si>
  <si>
    <t xml:space="preserve"> 95114 </t>
  </si>
  <si>
    <t xml:space="preserve">MARTELETE OU ROMPEDOR PNEUMÁTICO MANUAL, 28 KG, COM SILENCIADOR - DEPRECIAÇÃO. AF_07/2016</t>
  </si>
  <si>
    <t xml:space="preserve"> 88298 </t>
  </si>
  <si>
    <t xml:space="preserve">OPERADOR DE MARTELETE OU MARTELETEIRO COM ENCARGOS COMPLEMENTARES</t>
  </si>
  <si>
    <t xml:space="preserve"> 53863 </t>
  </si>
  <si>
    <t xml:space="preserve">MARTELETE OU ROMPEDOR PNEUMÁTICO MANUAL, 28 KG, COM SILENCIADOR - MANUTENÇÃO. AF_07/2016</t>
  </si>
  <si>
    <t xml:space="preserve"> 00041898 </t>
  </si>
  <si>
    <t xml:space="preserve"> 00043488 </t>
  </si>
  <si>
    <t xml:space="preserve"> 00043464 </t>
  </si>
  <si>
    <t xml:space="preserve"> 00043489 </t>
  </si>
  <si>
    <t xml:space="preserve"> 00043465 </t>
  </si>
  <si>
    <t xml:space="preserve"> 00043491 </t>
  </si>
  <si>
    <t xml:space="preserve"> 00043467 </t>
  </si>
  <si>
    <t xml:space="preserve">LISTAGEM DE INSUMOS (VALOR UNITÁRIO SEM BDI)</t>
  </si>
  <si>
    <t xml:space="preserve">VALOR  UNITÁRIO SEM BDI (ORIGINAL)</t>
  </si>
  <si>
    <t xml:space="preserve">VALOR  UNITÁRIO SEM BDI (EMPRESA)</t>
  </si>
  <si>
    <t xml:space="preserve">PESO</t>
  </si>
  <si>
    <t xml:space="preserve">KIT GERADOR FOTOVOLTAICO (INVERSOR, STRING-BOX, MÓDULOS, CABOS, CONECTORES, ESTRUTURA DE FIXAÇÃO E MONITORAMENTO) PARA MONTAGEM EM TELHADO METÁLICO TRAPEZOIDAL</t>
  </si>
  <si>
    <t xml:space="preserve">Equipamento para Aquisição Permanente</t>
  </si>
  <si>
    <t xml:space="preserve">55,6200000</t>
  </si>
  <si>
    <t xml:space="preserve">2.812,14</t>
  </si>
  <si>
    <t xml:space="preserve">ENGENHEIRO ELETRICISTA</t>
  </si>
  <si>
    <t xml:space="preserve">Mão de Obra</t>
  </si>
  <si>
    <t xml:space="preserve">147,7791560</t>
  </si>
  <si>
    <t xml:space="preserve">106,80</t>
  </si>
  <si>
    <t xml:space="preserve">ELETRICISTA</t>
  </si>
  <si>
    <t xml:space="preserve">658,1860233</t>
  </si>
  <si>
    <t xml:space="preserve">20,55</t>
  </si>
  <si>
    <t xml:space="preserve">AJUDANTE DE ELETRICISTA</t>
  </si>
  <si>
    <t xml:space="preserve">654,7090983</t>
  </si>
  <si>
    <t xml:space="preserve">13,35</t>
  </si>
  <si>
    <t xml:space="preserve">CPOS</t>
  </si>
  <si>
    <t xml:space="preserve">Eletroduto galvanizado por imersão a quente, DN = 2´ - NBR5598</t>
  </si>
  <si>
    <t xml:space="preserve">Material</t>
  </si>
  <si>
    <t xml:space="preserve">105,6000000</t>
  </si>
  <si>
    <t xml:space="preserve">75,08</t>
  </si>
  <si>
    <t xml:space="preserve">ALIMENTACAO - HORISTA (COLETADO CAIXA)</t>
  </si>
  <si>
    <t xml:space="preserve">Outros</t>
  </si>
  <si>
    <t xml:space="preserve">1.357,8571904</t>
  </si>
  <si>
    <t xml:space="preserve">2,11</t>
  </si>
  <si>
    <t xml:space="preserve">QUADRO DE DISTRIBUICAO COM BARRAMENTO TRIFASICO, DE EMBUTIR, EM CHAPA DE ACO GALVANIZADO, PARA 30 DISJUNTORES DIN, 150 A</t>
  </si>
  <si>
    <t xml:space="preserve">2,0000000</t>
  </si>
  <si>
    <t xml:space="preserve">787,53</t>
  </si>
  <si>
    <t xml:space="preserve">EPI - FAMILIA ELETRICISTA - HORISTA (ENCARGOS COMPLEMENTARES - COLETADO CAIXA)</t>
  </si>
  <si>
    <t xml:space="preserve">Equipamento</t>
  </si>
  <si>
    <t xml:space="preserve">1.306,4080000</t>
  </si>
  <si>
    <t xml:space="preserve">1,07</t>
  </si>
  <si>
    <t xml:space="preserve">EXAMES - HORISTA (COLETADO CAIXA)</t>
  </si>
  <si>
    <t xml:space="preserve">1.519,6671904</t>
  </si>
  <si>
    <t xml:space="preserve">0,81</t>
  </si>
  <si>
    <t xml:space="preserve">CABO DE COBRE, FLEXIVEL, CLASSE 4 OU 5, ISOLACAO EM PVC/A, ANTICHAMA BWF-B, COBERTURA PVC-ST1, ANTICHAMA BWF-B, 1 CONDUTOR, 0,6/1 KV, SECAO NOMINAL 10 MM2</t>
  </si>
  <si>
    <t xml:space="preserve">123,2400000</t>
  </si>
  <si>
    <t xml:space="preserve">9,70</t>
  </si>
  <si>
    <t xml:space="preserve">OLEO DIESEL COMBUSTIVEL COMUM</t>
  </si>
  <si>
    <t xml:space="preserve">L</t>
  </si>
  <si>
    <t xml:space="preserve">148,0080000</t>
  </si>
  <si>
    <t xml:space="preserve">6,89</t>
  </si>
  <si>
    <t xml:space="preserve">FERRAMENTAS - FAMILIA ELETRICISTA - HORISTA (ENCARGOS COMPLEMENTARES - COLETADO CAIXA)</t>
  </si>
  <si>
    <t xml:space="preserve">0,78</t>
  </si>
  <si>
    <t xml:space="preserve">TRANSPORTE - HORISTA (COLETADO CAIXA)</t>
  </si>
  <si>
    <t xml:space="preserve">Serviços</t>
  </si>
  <si>
    <t xml:space="preserve">0,75</t>
  </si>
  <si>
    <t xml:space="preserve">CAIXA DE PASSAGEM METALICA DE SOBREPOR COM TAMPA PARAFUSADA, DIMENSOES 30 X 30 X 10 CM</t>
  </si>
  <si>
    <t xml:space="preserve">12,0000000</t>
  </si>
  <si>
    <t xml:space="preserve">82,19</t>
  </si>
  <si>
    <t xml:space="preserve">DISJUNTOR TERMICO E MAGNETICO FIXO, TRIPOLAR DE 50A, CAPACIDADE DE INTERRUPCAO DE 16KA. Ref.: DWB160B50-3DX da WEG ou equivalente técnico</t>
  </si>
  <si>
    <t xml:space="preserve">465,10</t>
  </si>
  <si>
    <t xml:space="preserve">420,20</t>
  </si>
  <si>
    <t xml:space="preserve">ELETROTECNICO</t>
  </si>
  <si>
    <t xml:space="preserve">32,8000000</t>
  </si>
  <si>
    <t xml:space="preserve">24,60</t>
  </si>
  <si>
    <t xml:space="preserve">DISPOSITIVO DPS CLASSE II, 1 POLO, TENSAO MAXIMA DE 275 V, CORRENTE MAXIMA DE *45* KA (TIPO AC)</t>
  </si>
  <si>
    <t xml:space="preserve">8,0000000</t>
  </si>
  <si>
    <t xml:space="preserve">92,88</t>
  </si>
  <si>
    <t xml:space="preserve">LOCACAO DE CONTAINER 2,30 X 6,00 M, ALT. 2,50 M, PARA ESCRITORIO, SEM DIVISORIAS INTERNAS E SEM SANITARIO (NAO INCLUI MOBILIZACAO/DESMOBILIZACAO)</t>
  </si>
  <si>
    <t xml:space="preserve">1,0000000</t>
  </si>
  <si>
    <t xml:space="preserve">648,43</t>
  </si>
  <si>
    <t xml:space="preserve">CABO DE COBRE, FLEXIVEL, CLASSE 4 OU 5, ISOLACAO EM PVC/A, ANTICHAMA BWF-B, 1 CONDUTOR, 450/750 V, SECAO NOMINAL 6 MM2</t>
  </si>
  <si>
    <t xml:space="preserve">123,6000000</t>
  </si>
  <si>
    <t xml:space="preserve">5,20</t>
  </si>
  <si>
    <t xml:space="preserve">CABO DE COBRE NU 16 MM2 MEIO-DURO</t>
  </si>
  <si>
    <t xml:space="preserve">36,7500000</t>
  </si>
  <si>
    <t xml:space="preserve">15,59</t>
  </si>
  <si>
    <t xml:space="preserve">PLACA DE OBRA (PARA CONSTRUCAO CIVIL) EM CHAPA GALVANIZADA *N. 22*, ADESIVADA, DE *2,4 X 1,2* M (SEM POSTES PARA FIXACAO)</t>
  </si>
  <si>
    <t xml:space="preserve">1,6000000</t>
  </si>
  <si>
    <t xml:space="preserve">315,00</t>
  </si>
  <si>
    <t xml:space="preserve">MOTORISTA OPERADOR DE CAMINHAO COM MUNCK</t>
  </si>
  <si>
    <t xml:space="preserve">16,2128000</t>
  </si>
  <si>
    <t xml:space="preserve">24,49</t>
  </si>
  <si>
    <t xml:space="preserve">CAMINHAO TOCO, PESO BRUTO TOTAL 16000 KG, CARGA UTIL MAXIMA 11030 KG, DISTANCIA ENTRE EIXOS 5,41 M, POTENCIA 185 CV (INCLUI CABINE E CHASSI, NAO INCLUI CARROCERIA)</t>
  </si>
  <si>
    <t xml:space="preserve">0,0007377</t>
  </si>
  <si>
    <t xml:space="preserve">459.729,71</t>
  </si>
  <si>
    <t xml:space="preserve">TERMINAL A COMPRESSAO EM COBRE ESTANHADO PARA CABO 6 MM2, 1 FURO E 1 COMPRESSAO, PARA PARAFUSO DE FIXACAO M6</t>
  </si>
  <si>
    <t xml:space="preserve">206,0000000</t>
  </si>
  <si>
    <t xml:space="preserve">1,53</t>
  </si>
  <si>
    <t xml:space="preserve">ELETRODUTO FLEXIVEL, EM ACO GALVANIZADO, REVESTIDO EXTERNAMENTE COM PVC PRETO, DIAMETRO EXTERNO DE 32 MM (1"), TIPO SEALTUBO</t>
  </si>
  <si>
    <t xml:space="preserve">18,4000000</t>
  </si>
  <si>
    <t xml:space="preserve">15,60</t>
  </si>
  <si>
    <t xml:space="preserve">DESENHISTA PROJETISTA</t>
  </si>
  <si>
    <t xml:space="preserve">18,0738000</t>
  </si>
  <si>
    <t xml:space="preserve">15,42</t>
  </si>
  <si>
    <t xml:space="preserve">ART DE EXECUÇÃO</t>
  </si>
  <si>
    <t xml:space="preserve">Taxas</t>
  </si>
  <si>
    <t xml:space="preserve">233,94</t>
  </si>
  <si>
    <t xml:space="preserve">ORSE</t>
  </si>
  <si>
    <t xml:space="preserve">Barra roscada zincada ø 3/8"</t>
  </si>
  <si>
    <t xml:space="preserve">m</t>
  </si>
  <si>
    <t xml:space="preserve">28,8000000</t>
  </si>
  <si>
    <t xml:space="preserve">7,70</t>
  </si>
  <si>
    <t xml:space="preserve">CONDULETE DE ALUMINIO TIPO X, PARA ELETRODUTO ROSCAVEL DE 2", COM TAMPA CEGA</t>
  </si>
  <si>
    <t xml:space="preserve">4,0000000</t>
  </si>
  <si>
    <t xml:space="preserve">42,59</t>
  </si>
  <si>
    <t xml:space="preserve">ENCANADOR OU BOMBEIRO HIDRAULICO (HORISTA)</t>
  </si>
  <si>
    <t xml:space="preserve">7,6176168</t>
  </si>
  <si>
    <t xml:space="preserve">PERFILADO PERFURADO SIMPLES 38 X 38 MM, CHAPA 22</t>
  </si>
  <si>
    <t xml:space="preserve">12,8000000</t>
  </si>
  <si>
    <t xml:space="preserve">12,19</t>
  </si>
  <si>
    <t xml:space="preserve">PEDREIRO (HORISTA)</t>
  </si>
  <si>
    <t xml:space="preserve">7,3238400</t>
  </si>
  <si>
    <t xml:space="preserve">Placa indicativa de sentido em pvc, dim.: 20 x 30 cm</t>
  </si>
  <si>
    <t xml:space="preserve">Un</t>
  </si>
  <si>
    <t xml:space="preserve">5,0000000</t>
  </si>
  <si>
    <t xml:space="preserve">28,60</t>
  </si>
  <si>
    <t xml:space="preserve">SERVENTE DE OBRAS</t>
  </si>
  <si>
    <t xml:space="preserve">10,6170177</t>
  </si>
  <si>
    <t xml:space="preserve">12,10</t>
  </si>
  <si>
    <t xml:space="preserve">Arruela lisa em aço inox 1/4"</t>
  </si>
  <si>
    <t xml:space="preserve">un</t>
  </si>
  <si>
    <t xml:space="preserve">412,0000000</t>
  </si>
  <si>
    <t xml:space="preserve">0,31</t>
  </si>
  <si>
    <t xml:space="preserve">Parafuso em aço inox, cabeça sextavada 1/4" x 1 1/4"</t>
  </si>
  <si>
    <t xml:space="preserve">0,60</t>
  </si>
  <si>
    <t xml:space="preserve">OPERADOR DE MARTELETE OU MARTELETEIRO</t>
  </si>
  <si>
    <t xml:space="preserve">7,5583036</t>
  </si>
  <si>
    <t xml:space="preserve">15,53</t>
  </si>
  <si>
    <t xml:space="preserve">EPI - FAMILIA ENGENHEIRO CIVIL - HORISTA (ENCARGOS COMPLEMENTARES - COLETADO CAIXA)</t>
  </si>
  <si>
    <t xml:space="preserve">143,8100000</t>
  </si>
  <si>
    <t xml:space="preserve">0,66</t>
  </si>
  <si>
    <t xml:space="preserve">SEGURO - HORISTA (COLETADO CAIXA)</t>
  </si>
  <si>
    <t xml:space="preserve">0,06</t>
  </si>
  <si>
    <t xml:space="preserve">ART DE PROJETO</t>
  </si>
  <si>
    <t xml:space="preserve">88,78</t>
  </si>
  <si>
    <t xml:space="preserve">GUINDAUTO HIDRAULICO, CAPACIDADE MAXIMA DE CARGA 3300 KG, MOMENTO MAXIMO DE CARGA 5,8 TM , ALCANCE MAXIMO HORIZONTAL  7,60 M, PARA MONTAGEM SOBRE CHASSI DE CAMINHAO PBT MINIMO 8000 KG (INCLUI MONTAGEM, NAO INCLUI CAMINHAO)</t>
  </si>
  <si>
    <t xml:space="preserve">0,0009314</t>
  </si>
  <si>
    <t xml:space="preserve">90.715,62</t>
  </si>
  <si>
    <t xml:space="preserve">PARAFUSO DE ACO TIPO CHUMBADOR PARABOLT, DIAMETRO 3/8", COMPRIMENTO 75 MM</t>
  </si>
  <si>
    <t xml:space="preserve">32,0000000</t>
  </si>
  <si>
    <t xml:space="preserve">2,57</t>
  </si>
  <si>
    <t xml:space="preserve">ABRACADEIRA EM ACO PARA AMARRACAO DE ELETRODUTOS, TIPO U SIMPLES, COM 4"</t>
  </si>
  <si>
    <t xml:space="preserve">16,0000000</t>
  </si>
  <si>
    <t xml:space="preserve">4,51</t>
  </si>
  <si>
    <t xml:space="preserve">TERMINAL A COMPRESSAO EM COBRE ESTANHADO PARA CABO 10 MM2, 1 FURO E 1 COMPRESSAO, PARA PARAFUSO DE FIXACAO M6</t>
  </si>
  <si>
    <t xml:space="preserve">40,0000000</t>
  </si>
  <si>
    <t xml:space="preserve">1,65</t>
  </si>
  <si>
    <t xml:space="preserve">DISJUNTOR TIPO DIN/IEC, MONOPOLAR DE 6  ATE  32A</t>
  </si>
  <si>
    <t xml:space="preserve">8,07</t>
  </si>
  <si>
    <t xml:space="preserve">PONTALETE *7,5 X 7,5* CM EM PINUS, MISTA OU EQUIVALENTE DA REGIAO - BRUTA</t>
  </si>
  <si>
    <t xml:space="preserve">6,4000000</t>
  </si>
  <si>
    <t xml:space="preserve">10,03</t>
  </si>
  <si>
    <t xml:space="preserve">ABRACADEIRA EM ACO PARA AMARRACAO DE ELETRODUTOS, TIPO U SIMPLES, COM 2"</t>
  </si>
  <si>
    <t xml:space="preserve">1,68</t>
  </si>
  <si>
    <t xml:space="preserve">Arruela de pressão em aço inox 1/4"</t>
  </si>
  <si>
    <t xml:space="preserve">0,25</t>
  </si>
  <si>
    <t xml:space="preserve">Porca em aço inox sextavada 1/4"</t>
  </si>
  <si>
    <t xml:space="preserve">0,23</t>
  </si>
  <si>
    <t xml:space="preserve">CARPINTEIRO DE FORMAS (HORISTA)</t>
  </si>
  <si>
    <t xml:space="preserve">1,6150400</t>
  </si>
  <si>
    <t xml:space="preserve">ABRACADEIRA EM ACO PARA AMARRACAO DE ELETRODUTOS, TIPO D, COM 1" E PARAFUSO DE FIXACAO</t>
  </si>
  <si>
    <t xml:space="preserve">PORCA ZINCADA, SEXTAVADA, DIAMETRO 3/8"</t>
  </si>
  <si>
    <t xml:space="preserve">96,0000000</t>
  </si>
  <si>
    <t xml:space="preserve">0,24</t>
  </si>
  <si>
    <t xml:space="preserve">EPI - FAMILIA OPERADOR ESCAVADEIRA - HORISTA (ENCARGOS COMPLEMENTARES - COLETADO CAIXA)</t>
  </si>
  <si>
    <t xml:space="preserve">23,5316976</t>
  </si>
  <si>
    <t xml:space="preserve">0,76</t>
  </si>
  <si>
    <t xml:space="preserve">AUXILIAR DE ENCANADOR OU BOMBEIRO HIDRAULICO (HORISTA)</t>
  </si>
  <si>
    <t xml:space="preserve">1,1891112</t>
  </si>
  <si>
    <t xml:space="preserve">MARTELO DEMOLIDOR PNEUMATICO MANUAL, PESO  DE 28 KG, COM SILENCIADOR</t>
  </si>
  <si>
    <t xml:space="preserve">0,0007253</t>
  </si>
  <si>
    <t xml:space="preserve">19.151,02</t>
  </si>
  <si>
    <t xml:space="preserve">FITA ISOLANTE ADESIVA ANTICHAMA, USO ATE 750 V, EM ROLO DE 19 MM X 5 M</t>
  </si>
  <si>
    <t xml:space="preserve">4,0800000</t>
  </si>
  <si>
    <t xml:space="preserve">3,02</t>
  </si>
  <si>
    <t xml:space="preserve">EPI - FAMILIA SERVENTE - HORISTA (ENCARGOS COMPLEMENTARES - COLETADO CAIXA)</t>
  </si>
  <si>
    <t xml:space="preserve">10,4374928</t>
  </si>
  <si>
    <t xml:space="preserve">1,15</t>
  </si>
  <si>
    <t xml:space="preserve">SARRAFO NAO APARELHADO *2,5 X 7* CM, EM MACARANDUBA, ANGELIM OU EQUIVALENTE DA REGIAO -  BRUTA</t>
  </si>
  <si>
    <t xml:space="preserve">7,45</t>
  </si>
  <si>
    <t xml:space="preserve">Arruela lisa de 3/8"</t>
  </si>
  <si>
    <t xml:space="preserve">0,12</t>
  </si>
  <si>
    <t xml:space="preserve">Fita adesiva marca 3M, largura 22mm, ref. VHB - rolo com 20m</t>
  </si>
  <si>
    <t xml:space="preserve">0,7500000</t>
  </si>
  <si>
    <t xml:space="preserve">15,09</t>
  </si>
  <si>
    <t xml:space="preserve">EPI - FAMILIA TOPOGRAFO - HORISTA (ENCARGOS COMPLEMENTARES - COLETADO CAIXA)</t>
  </si>
  <si>
    <t xml:space="preserve">18,0000000</t>
  </si>
  <si>
    <t xml:space="preserve">0,62</t>
  </si>
  <si>
    <t xml:space="preserve">EPI - FAMILIA ENCANADOR - HORISTA (ENCARGOS COMPLEMENTARES - COLETADO CAIXA)</t>
  </si>
  <si>
    <t xml:space="preserve">8,6800000</t>
  </si>
  <si>
    <t xml:space="preserve">0,94</t>
  </si>
  <si>
    <t xml:space="preserve">EPI - FAMILIA PEDREIRO - HORISTA (ENCARGOS COMPLEMENTARES - COLETADO CAIXA)</t>
  </si>
  <si>
    <t xml:space="preserve">7,2000000</t>
  </si>
  <si>
    <t xml:space="preserve">1,09</t>
  </si>
  <si>
    <t xml:space="preserve">FERRAMENTAS - FAMILIA SERVENTE - HORISTA (ENCARGOS COMPLEMENTARES - COLETADO CAIXA)</t>
  </si>
  <si>
    <t xml:space="preserve">0,56</t>
  </si>
  <si>
    <t xml:space="preserve">FERRAMENTAS - FAMILIA PEDREIRO - HORISTA (ENCARGOS COMPLEMENTARES - COLETADO CAIXA)</t>
  </si>
  <si>
    <t xml:space="preserve">0,74</t>
  </si>
  <si>
    <t xml:space="preserve">PREGO DE ACO POLIDO COM CABECA 18 X 30 (2 3/4 X 10)</t>
  </si>
  <si>
    <t xml:space="preserve">KG</t>
  </si>
  <si>
    <t xml:space="preserve">0,1760000</t>
  </si>
  <si>
    <t xml:space="preserve">24,45</t>
  </si>
  <si>
    <t xml:space="preserve">TERMINAL A COMPRESSAO EM COBRE ESTANHADO PARA CABO 16 MM2, 1 FURO E 1 COMPRESSAO, PARA PARAFUSO DE FIXACAO M6</t>
  </si>
  <si>
    <t xml:space="preserve">1,96</t>
  </si>
  <si>
    <t xml:space="preserve">FERRAMENTAS - FAMILIA ENCANADOR - HORISTA (ENCARGOS COMPLEMENTARES - COLETADO CAIXA)</t>
  </si>
  <si>
    <t xml:space="preserve">0,32</t>
  </si>
  <si>
    <t xml:space="preserve">CIMENTO PORTLAND COMPOSTO CP II-32</t>
  </si>
  <si>
    <t xml:space="preserve">3,3923104</t>
  </si>
  <si>
    <t xml:space="preserve">EPI - FAMILIA CARPINTEIRO DE FORMAS - HORISTA (ENCARGOS COMPLEMENTARES - COLETADO CAIXA)</t>
  </si>
  <si>
    <t xml:space="preserve">1,26</t>
  </si>
  <si>
    <t xml:space="preserve">AREIA MEDIA - POSTO JAZIDA/FORNECEDOR (RETIRADO NA JAZIDA, SEM TRANSPORTE)</t>
  </si>
  <si>
    <t xml:space="preserve">0,0132304</t>
  </si>
  <si>
    <t xml:space="preserve">150,00</t>
  </si>
  <si>
    <t xml:space="preserve">FERRAMENTAS - FAMILIA ENGENHEIRO CIVIL - HORISTA (ENCARGOS COMPLEMENTARES - COLETADO CAIXA)</t>
  </si>
  <si>
    <t xml:space="preserve">0,01</t>
  </si>
  <si>
    <t xml:space="preserve">FERRAMENTAS - FAMILIA TOPOGRAFO - HORISTA (ENCARGOS COMPLEMENTARES - COLETADO CAIXA)</t>
  </si>
  <si>
    <t xml:space="preserve">0,07</t>
  </si>
  <si>
    <t xml:space="preserve">PEDRA BRITADA N. 1 (9,5 a 19 MM) POSTO PEDREIRA/FORNECEDOR, SEM FRETE</t>
  </si>
  <si>
    <t xml:space="preserve">0,0092512</t>
  </si>
  <si>
    <t xml:space="preserve">86,68</t>
  </si>
  <si>
    <t xml:space="preserve">FERRAMENTAS - FAMILIA CARPINTEIRO DE FORMAS - HORISTA (ENCARGOS COMPLEMENTARES - COLETADO CAIXA)</t>
  </si>
  <si>
    <t xml:space="preserve">0,45</t>
  </si>
  <si>
    <t xml:space="preserve">OPERADOR DE BETONEIRA ESTACIONARIA / MISTURADOR</t>
  </si>
  <si>
    <t xml:space="preserve">0,0238564</t>
  </si>
  <si>
    <t xml:space="preserve">20,44</t>
  </si>
  <si>
    <t xml:space="preserve">FERRAMENTAS - FAMILIA OPERADOR ESCAVADEIRA - HORISTA (ENCARGOS COMPLEMENTARES - COLETADO CAIXA)</t>
  </si>
  <si>
    <t xml:space="preserve">ENERGIA ELETRICA ATE 2000 KWH INDUSTRIAL, SEM DEMANDA</t>
  </si>
  <si>
    <t xml:space="preserve">KWH</t>
  </si>
  <si>
    <t xml:space="preserve">0,0152460</t>
  </si>
  <si>
    <t xml:space="preserve">BETONEIRA CAPACIDADE NOMINAL 400 L, CAPACIDADE DE MISTURA  280 L, MOTOR ELETRICO TRIFASICO 220/380 V POTENCIA 2 CV, SEM CARREGADOR</t>
  </si>
  <si>
    <t xml:space="preserve">0,0000026</t>
  </si>
  <si>
    <t xml:space="preserve">4.950,00</t>
  </si>
  <si>
    <t xml:space="preserve">TAXAS: LEIS SOCIAIS E BDI</t>
  </si>
  <si>
    <t xml:space="preserve">Item</t>
  </si>
  <si>
    <t xml:space="preserve">LEIS SOCIAIS (LS) - SINAPI</t>
  </si>
  <si>
    <t xml:space="preserve">HORISTA (taxa já inclusa nos valores unitários de mão-de-obra)</t>
  </si>
  <si>
    <t xml:space="preserve">LS</t>
  </si>
  <si>
    <t xml:space="preserve">MENSALISTA (taxa já inclusa nos valores unitários de mão-de-obra)</t>
  </si>
  <si>
    <t xml:space="preserve">BONIFICAÇÃO DE DESPESAS INDIRETAS - BDI</t>
  </si>
  <si>
    <t xml:space="preserve">RISCOS</t>
  </si>
  <si>
    <t xml:space="preserve">R</t>
  </si>
  <si>
    <t xml:space="preserve">SEGUROS</t>
  </si>
  <si>
    <t xml:space="preserve">S</t>
  </si>
  <si>
    <t xml:space="preserve">GARANTIAS</t>
  </si>
  <si>
    <t xml:space="preserve">G</t>
  </si>
  <si>
    <t xml:space="preserve">DESPESAS FINANCEIRAS</t>
  </si>
  <si>
    <t xml:space="preserve">DF</t>
  </si>
  <si>
    <t xml:space="preserve">ADMINISTRAÇÃO CENTRAL</t>
  </si>
  <si>
    <t xml:space="preserve">AC</t>
  </si>
  <si>
    <t xml:space="preserve">LUCRO</t>
  </si>
  <si>
    <t xml:space="preserve">COFINS</t>
  </si>
  <si>
    <t xml:space="preserve">I</t>
  </si>
  <si>
    <t xml:space="preserve">PIS</t>
  </si>
  <si>
    <t xml:space="preserve">CPRB</t>
  </si>
  <si>
    <t xml:space="preserve">ISS</t>
  </si>
  <si>
    <t xml:space="preserve">Fórmula:</t>
  </si>
  <si>
    <r>
      <rPr>
        <sz val="10"/>
        <color rgb="FF000000"/>
        <rFont val="Arial"/>
        <family val="2"/>
        <charset val="1"/>
      </rPr>
      <t xml:space="preserve">     BDI =  { [ </t>
    </r>
    <r>
      <rPr>
        <u val="single"/>
        <sz val="10"/>
        <rFont val="Arial"/>
        <family val="2"/>
        <charset val="1"/>
      </rPr>
      <t xml:space="preserve">(1+(R+S+G+AC)).(1+DF).(1+L)</t>
    </r>
    <r>
      <rPr>
        <sz val="10"/>
        <color rgb="FF000000"/>
        <rFont val="Arial"/>
        <family val="2"/>
        <charset val="1"/>
      </rPr>
      <t xml:space="preserve"> ] -1 } x 100                                                                                                                                           1 - ( I )</t>
    </r>
  </si>
  <si>
    <t xml:space="preserve">BDI</t>
  </si>
  <si>
    <t xml:space="preserve">CRONOGRAMA</t>
  </si>
  <si>
    <t xml:space="preserve">VALOR</t>
  </si>
  <si>
    <t xml:space="preserve">mês 1</t>
  </si>
  <si>
    <t xml:space="preserve">mês 2</t>
  </si>
  <si>
    <t xml:space="preserve">mês 3</t>
  </si>
  <si>
    <t xml:space="preserve">mês 4</t>
  </si>
  <si>
    <t xml:space="preserve">1</t>
  </si>
  <si>
    <t xml:space="preserve">2</t>
  </si>
  <si>
    <t xml:space="preserve">3</t>
  </si>
  <si>
    <t xml:space="preserve">PARCIAL</t>
  </si>
  <si>
    <t xml:space="preserve">ACUMULADO</t>
  </si>
  <si>
    <t xml:space="preserve">ENCARGOS SOCIAIS SOBRE A MÃO DE OBRA</t>
  </si>
  <si>
    <t xml:space="preserve">COM DESONERAÇÃO</t>
  </si>
  <si>
    <t xml:space="preserve">SEM DESONERAÇÃO</t>
  </si>
  <si>
    <t xml:space="preserve">HORISTA        %</t>
  </si>
  <si>
    <t xml:space="preserve">MENSALISTA %</t>
  </si>
  <si>
    <t xml:space="preserve">GRUPO A</t>
  </si>
  <si>
    <t xml:space="preserve">A1</t>
  </si>
  <si>
    <t xml:space="preserve">INSS</t>
  </si>
  <si>
    <t xml:space="preserve">A2</t>
  </si>
  <si>
    <t xml:space="preserve">SESI</t>
  </si>
  <si>
    <t xml:space="preserve">A3</t>
  </si>
  <si>
    <t xml:space="preserve">SENAI</t>
  </si>
  <si>
    <t xml:space="preserve">A4</t>
  </si>
  <si>
    <t xml:space="preserve">INCRA</t>
  </si>
  <si>
    <t xml:space="preserve">A5</t>
  </si>
  <si>
    <t xml:space="preserve">SEBREA</t>
  </si>
  <si>
    <t xml:space="preserve">A6</t>
  </si>
  <si>
    <t xml:space="preserve">Slário Educação</t>
  </si>
  <si>
    <t xml:space="preserve">A7</t>
  </si>
  <si>
    <t xml:space="preserve">Seguro contra acidente de trabalho</t>
  </si>
  <si>
    <t xml:space="preserve">A8</t>
  </si>
  <si>
    <t xml:space="preserve">FGTS</t>
  </si>
  <si>
    <t xml:space="preserve">A9</t>
  </si>
  <si>
    <t xml:space="preserve">SECONCI</t>
  </si>
  <si>
    <t xml:space="preserve">A</t>
  </si>
  <si>
    <t xml:space="preserve">GRUPO B</t>
  </si>
  <si>
    <t xml:space="preserve">B1</t>
  </si>
  <si>
    <t xml:space="preserve">Repouso Semanal Remunerado</t>
  </si>
  <si>
    <t xml:space="preserve">Não incide</t>
  </si>
  <si>
    <t xml:space="preserve">B2</t>
  </si>
  <si>
    <t xml:space="preserve">Feriados</t>
  </si>
  <si>
    <t xml:space="preserve">B3</t>
  </si>
  <si>
    <t xml:space="preserve">Auxílio-Enfermidade</t>
  </si>
  <si>
    <t xml:space="preserve">B4</t>
  </si>
  <si>
    <t xml:space="preserve">13º Salário</t>
  </si>
  <si>
    <t xml:space="preserve">B5</t>
  </si>
  <si>
    <t xml:space="preserve">Licença Paternidade</t>
  </si>
  <si>
    <t xml:space="preserve">B6</t>
  </si>
  <si>
    <t xml:space="preserve">Faltas Justificadas</t>
  </si>
  <si>
    <t xml:space="preserve">B7</t>
  </si>
  <si>
    <t xml:space="preserve">Dias de Chuvas</t>
  </si>
  <si>
    <t xml:space="preserve">B8</t>
  </si>
  <si>
    <t xml:space="preserve">Auxílio Acidente de Trabalho</t>
  </si>
  <si>
    <t xml:space="preserve">B9</t>
  </si>
  <si>
    <t xml:space="preserve">Férias Gozadas</t>
  </si>
  <si>
    <t xml:space="preserve">B10</t>
  </si>
  <si>
    <t xml:space="preserve">Salário Maternidade</t>
  </si>
  <si>
    <t xml:space="preserve">B</t>
  </si>
  <si>
    <t xml:space="preserve">GRUPO C</t>
  </si>
  <si>
    <t xml:space="preserve">C1</t>
  </si>
  <si>
    <t xml:space="preserve">Aviso Prévio Indenizado</t>
  </si>
  <si>
    <t xml:space="preserve">C2</t>
  </si>
  <si>
    <t xml:space="preserve">Aviso Prévio Trabalhado</t>
  </si>
  <si>
    <t xml:space="preserve">C3</t>
  </si>
  <si>
    <t xml:space="preserve">Férias Indenizadas</t>
  </si>
  <si>
    <t xml:space="preserve">C4</t>
  </si>
  <si>
    <t xml:space="preserve">Depósito Rescisão Sem Justa Causa</t>
  </si>
  <si>
    <t xml:space="preserve">C5</t>
  </si>
  <si>
    <t xml:space="preserve">Indenização Adicional</t>
  </si>
  <si>
    <t xml:space="preserve">C</t>
  </si>
  <si>
    <t xml:space="preserve">GRUPO D</t>
  </si>
  <si>
    <t xml:space="preserve">D1</t>
  </si>
  <si>
    <t xml:space="preserve">Reincidência de Grupo A sobre Grupo B</t>
  </si>
  <si>
    <t xml:space="preserve">D2</t>
  </si>
  <si>
    <t xml:space="preserve">Reincidência de Grupo A sobre Aviso Prévio Trabalhado e Reincidência do FGTS sobre Aviso Prévio Indenizado</t>
  </si>
  <si>
    <t xml:space="preserve">D</t>
  </si>
  <si>
    <t xml:space="preserve">TOTAL (A+B+C+D)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</si>
</sst>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_-&quot;R$ &quot;* #,##0.00_-;&quot;-R$ &quot;* #,##0.00_-;_-&quot;R$ &quot;* \-??_-;_-@_-"/>
    <numFmt numFmtId="166" formatCode="0%"/>
    <numFmt numFmtId="167" formatCode="_-* #,##0.00_-;\-* #,##0.00_-;_-* \-??_-;_-@_-"/>
    <numFmt numFmtId="168" formatCode="0.00%"/>
    <numFmt numFmtId="169" formatCode="#,##0.00"/>
    <numFmt numFmtId="170" formatCode="#,##0.00\ %"/>
    <numFmt numFmtId="171" formatCode="0.0%"/>
    <numFmt numFmtId="172" formatCode="_-* #,##0_-;\-* #,##0_-;_-* \-??_-;_-@_-"/>
    <numFmt numFmtId="173" formatCode="#,##0.0000000"/>
    <numFmt numFmtId="174" formatCode="0.00"/>
    <numFmt numFmtId="175" formatCode="0.000000"/>
    <numFmt numFmtId="176" formatCode="_-* #,##0.0_-;\-* #,##0.0_-;_-* \-??_-;_-@_-"/>
    <numFmt numFmtId="177" formatCode="@"/>
    <numFmt numFmtId="178" formatCode="#,##0.00_);\(#,##0.00\)"/>
    <numFmt numFmtId="179" formatCode="MM/YY"/>
    <numFmt numFmtId="180" formatCode="_(&quot;R$ &quot;* #,##0.00_);_(&quot;R$ &quot;* \(#,##0.00\);_(&quot;R$ &quot;* \-??_);_(@_)"/>
  </numFmts>
  <fonts count="30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0070C0"/>
      <name val="Arial"/>
      <family val="2"/>
      <charset val="1"/>
    </font>
    <font>
      <b val="true"/>
      <sz val="16"/>
      <name val="Arial"/>
      <family val="2"/>
      <charset val="1"/>
    </font>
    <font>
      <sz val="16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1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1"/>
      <color rgb="FF0070C0"/>
      <name val="Arial"/>
      <family val="1"/>
      <charset val="1"/>
    </font>
    <font>
      <sz val="10"/>
      <color rgb="FF000000"/>
      <name val="Arial"/>
      <family val="1"/>
      <charset val="1"/>
    </font>
    <font>
      <sz val="11"/>
      <name val="Arial"/>
      <family val="2"/>
      <charset val="1"/>
    </font>
    <font>
      <sz val="12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1"/>
      <charset val="1"/>
    </font>
    <font>
      <b val="true"/>
      <sz val="14"/>
      <name val="Arial"/>
      <family val="2"/>
      <charset val="1"/>
    </font>
    <font>
      <b val="true"/>
      <sz val="10"/>
      <name val="Arial"/>
      <family val="1"/>
      <charset val="1"/>
    </font>
    <font>
      <u val="single"/>
      <sz val="10"/>
      <name val="Arial"/>
      <family val="2"/>
      <charset val="1"/>
    </font>
    <font>
      <sz val="14"/>
      <name val="Arial"/>
      <family val="2"/>
      <charset val="1"/>
    </font>
    <font>
      <sz val="12"/>
      <color rgb="FF0000FF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sz val="11"/>
      <color rgb="FF000000"/>
      <name val="Arial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A6A6A6"/>
        <bgColor rgb="FFBFBFBF"/>
      </patternFill>
    </fill>
    <fill>
      <patternFill patternType="solid">
        <fgColor rgb="FF9DC3E6"/>
        <bgColor rgb="FFBFBFBF"/>
      </patternFill>
    </fill>
    <fill>
      <patternFill patternType="solid">
        <fgColor rgb="FFD8ECF6"/>
        <bgColor rgb="FFDEEBF7"/>
      </patternFill>
    </fill>
    <fill>
      <patternFill patternType="solid">
        <fgColor rgb="FFDFF0D8"/>
        <bgColor rgb="FFDEEBF7"/>
      </patternFill>
    </fill>
    <fill>
      <patternFill patternType="solid">
        <fgColor rgb="FFD9D9D9"/>
        <bgColor rgb="FFD6D6D6"/>
      </patternFill>
    </fill>
    <fill>
      <patternFill patternType="solid">
        <fgColor rgb="FFA9D18E"/>
        <bgColor rgb="FFC5E0B4"/>
      </patternFill>
    </fill>
    <fill>
      <patternFill patternType="solid">
        <fgColor rgb="FFD6D6D6"/>
        <bgColor rgb="FFD9D9D9"/>
      </patternFill>
    </fill>
    <fill>
      <patternFill patternType="solid">
        <fgColor rgb="FFEFEFEF"/>
        <bgColor rgb="FFF2F2F2"/>
      </patternFill>
    </fill>
    <fill>
      <patternFill patternType="solid">
        <fgColor rgb="FFF7F3DF"/>
        <bgColor rgb="FFF2F2F2"/>
      </patternFill>
    </fill>
    <fill>
      <patternFill patternType="solid">
        <fgColor rgb="FFFFFFCC"/>
        <bgColor rgb="FFF7F3DF"/>
      </patternFill>
    </fill>
    <fill>
      <patternFill patternType="solid">
        <fgColor rgb="FFBFBFBF"/>
        <bgColor rgb="FFCCCCCC"/>
      </patternFill>
    </fill>
    <fill>
      <patternFill patternType="solid">
        <fgColor rgb="FFC5E0B4"/>
        <bgColor rgb="FFD6D6D6"/>
      </patternFill>
    </fill>
    <fill>
      <patternFill patternType="solid">
        <fgColor rgb="FFDEEBF7"/>
        <bgColor rgb="FFD8ECF6"/>
      </patternFill>
    </fill>
    <fill>
      <patternFill patternType="solid">
        <fgColor rgb="FFF2F2F2"/>
        <bgColor rgb="FFEFEFEF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ck"/>
      <bottom/>
      <diagonal/>
    </border>
    <border diagonalUp="false" diagonalDown="false">
      <left/>
      <right/>
      <top style="thin"/>
      <bottom style="thin">
        <color rgb="FFCCCCCC"/>
      </bottom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thin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/>
      <bottom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5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8" fillId="0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1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" fillId="0" borderId="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0" xfId="21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8" fontId="10" fillId="0" borderId="0" xfId="21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2" borderId="0" xfId="21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21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21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8" fontId="10" fillId="0" borderId="0" xfId="21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4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4" fillId="2" borderId="0" xfId="15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4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6" fillId="4" borderId="1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6" fillId="4" borderId="1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5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6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6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8" fillId="6" borderId="1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6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3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7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7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7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8" borderId="1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7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7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7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22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2" borderId="0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4" fillId="3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3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3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6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6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6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8" fillId="6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8" fillId="6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8" fillId="6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5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6" fillId="5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2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2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22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9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9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2" fillId="9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2" fillId="9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22" fillId="9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22" fillId="9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2" fillId="1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1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10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2" fillId="1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3" fontId="22" fillId="1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22" fillId="1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9" fontId="22" fillId="1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2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4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6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6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18" fillId="6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8" fillId="6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2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9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9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9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22" fillId="9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22" fillId="9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2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1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1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1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2" fillId="1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22" fillId="1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2" fillId="1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1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1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22" fillId="1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22" fillId="1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9" fontId="22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22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4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3" fontId="24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9" fontId="24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8" fillId="6" borderId="1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7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72" fontId="22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8" fillId="0" borderId="0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3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2" borderId="7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4" fillId="2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4" fillId="2" borderId="9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6" borderId="1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6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8" fillId="6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6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3" fontId="18" fillId="6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18" fillId="6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18" fillId="6" borderId="1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4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24" fillId="3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9" borderId="1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2" fillId="9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9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3" fontId="22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22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22" fillId="9" borderId="1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10" borderId="1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10" borderId="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2" fillId="10" borderId="4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1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3" fontId="22" fillId="10" borderId="4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22" fillId="10" borderId="4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22" fillId="10" borderId="13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2" fillId="1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1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2" fillId="1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3" fontId="22" fillId="1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22" fillId="1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9" fontId="18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6" fontId="0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24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9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9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9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2" fillId="8" borderId="1" xfId="15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22" fillId="7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1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1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1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22" fillId="0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11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11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11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22" fillId="12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2" borderId="0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0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13" borderId="1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3" borderId="1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8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9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8" borderId="21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2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8" fillId="8" borderId="24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8" borderId="21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25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6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8" borderId="27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28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8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8" borderId="29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0" borderId="2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8" borderId="29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3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8" borderId="24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0" borderId="1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1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6" fillId="0" borderId="0" xfId="21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21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8" fontId="26" fillId="0" borderId="0" xfId="21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23" fillId="0" borderId="0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6" fillId="0" borderId="0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0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9" fillId="0" borderId="0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0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12" fillId="13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2" fillId="13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2" fillId="13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23" fillId="13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7" fontId="23" fillId="7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7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7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3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3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6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14" borderId="1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20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23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3" fillId="15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15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7" fillId="15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3" fillId="15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6" fillId="0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28" fillId="15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15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3" fillId="15" borderId="3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15" borderId="3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7" fillId="15" borderId="3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3" fillId="15" borderId="3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6" fillId="0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2" fillId="0" borderId="0" xfId="23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9" fillId="2" borderId="0" xfId="22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9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22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9" fillId="2" borderId="0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9" fillId="2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0" borderId="4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4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3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4" fillId="13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0" borderId="1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2" fillId="0" borderId="1" xfId="23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22" fillId="14" borderId="1" xfId="26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24" fillId="16" borderId="1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4" fillId="16" borderId="1" xfId="23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24" fillId="16" borderId="1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22" fillId="14" borderId="1" xfId="26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2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2" fillId="0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13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6" fillId="13" borderId="1" xfId="23" applyFont="true" applyBorder="true" applyAlignment="true" applyProtection="true">
      <alignment horizontal="general" vertical="top" textRotation="0" wrapText="false" indent="0" shrinkToFit="false"/>
      <protection locked="true" hidden="false"/>
    </xf>
  </cellXfs>
  <cellStyles count="14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Moeda 2" xfId="20" builtinId="53" customBuiltin="true"/>
    <cellStyle name="Normal 2" xfId="21" builtinId="53" customBuiltin="true"/>
    <cellStyle name="Normal 2 3" xfId="22" builtinId="53" customBuiltin="true"/>
    <cellStyle name="Normal 3" xfId="23" builtinId="53" customBuiltin="true"/>
    <cellStyle name="Porcentagem 2" xfId="24" builtinId="53" customBuiltin="true"/>
    <cellStyle name="Porcentagem 3" xfId="25" builtinId="53" customBuiltin="true"/>
    <cellStyle name="Porcentagem 3 2" xfId="26" builtinId="53" customBuiltin="true"/>
    <cellStyle name="Vírgula 2" xfId="27" builtinId="53" customBuiltin="true"/>
  </cellStyles>
  <dxfs count="3">
    <dxf>
      <fill>
        <patternFill>
          <bgColor rgb="FF9DC3E6"/>
        </patternFill>
      </fill>
    </dxf>
    <dxf>
      <fill>
        <patternFill>
          <bgColor rgb="FF9DC3E6"/>
        </patternFill>
      </fill>
    </dxf>
    <dxf>
      <fill>
        <patternFill>
          <bgColor rgb="FF9DC3E6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EFEFEF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8ECF6"/>
      <rgbColor rgb="FF660066"/>
      <rgbColor rgb="FFFF8080"/>
      <rgbColor rgb="FF0070C0"/>
      <rgbColor rgb="FFD6D6D6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DEEBF7"/>
      <rgbColor rgb="FFDFF0D8"/>
      <rgbColor rgb="FFF7F3DF"/>
      <rgbColor rgb="FF9DC3E6"/>
      <rgbColor rgb="FFC5E0B4"/>
      <rgbColor rgb="FFCCCCCC"/>
      <rgbColor rgb="FFD9D9D9"/>
      <rgbColor rgb="FF3366FF"/>
      <rgbColor rgb="FF33CCCC"/>
      <rgbColor rgb="FFA9D18E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externalLink" Target="externalLinks/externalLink1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wmf"/><Relationship Id="rId2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5.wmf"/><Relationship Id="rId2" Type="http://schemas.openxmlformats.org/officeDocument/2006/relationships/image" Target="../media/image6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7.wmf"/><Relationship Id="rId2" Type="http://schemas.openxmlformats.org/officeDocument/2006/relationships/image" Target="../media/image8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9.wmf"/><Relationship Id="rId2" Type="http://schemas.openxmlformats.org/officeDocument/2006/relationships/image" Target="../media/image10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11.wmf"/><Relationship Id="rId2" Type="http://schemas.openxmlformats.org/officeDocument/2006/relationships/image" Target="../media/image12.pn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13.wmf"/><Relationship Id="rId2" Type="http://schemas.openxmlformats.org/officeDocument/2006/relationships/image" Target="../media/image14.png"/><Relationship Id="rId3" Type="http://schemas.openxmlformats.org/officeDocument/2006/relationships/image" Target="../media/image15.png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image" Target="../media/image16.wmf"/><Relationship Id="rId2" Type="http://schemas.openxmlformats.org/officeDocument/2006/relationships/image" Target="../media/image1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76320</xdr:colOff>
      <xdr:row>0</xdr:row>
      <xdr:rowOff>85680</xdr:rowOff>
    </xdr:from>
    <xdr:to>
      <xdr:col>1</xdr:col>
      <xdr:colOff>111240</xdr:colOff>
      <xdr:row>2</xdr:row>
      <xdr:rowOff>172440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76320" y="85680"/>
          <a:ext cx="1801800" cy="467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552600</xdr:colOff>
      <xdr:row>0</xdr:row>
      <xdr:rowOff>57240</xdr:rowOff>
    </xdr:from>
    <xdr:to>
      <xdr:col>4</xdr:col>
      <xdr:colOff>551520</xdr:colOff>
      <xdr:row>2</xdr:row>
      <xdr:rowOff>108000</xdr:rowOff>
    </xdr:to>
    <xdr:pic>
      <xdr:nvPicPr>
        <xdr:cNvPr id="1" name="Imagem 1" descr=""/>
        <xdr:cNvPicPr/>
      </xdr:nvPicPr>
      <xdr:blipFill>
        <a:blip r:embed="rId2"/>
        <a:stretch/>
      </xdr:blipFill>
      <xdr:spPr>
        <a:xfrm>
          <a:off x="7782480" y="57240"/>
          <a:ext cx="1902240" cy="431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57240</xdr:colOff>
      <xdr:row>0</xdr:row>
      <xdr:rowOff>47520</xdr:rowOff>
    </xdr:from>
    <xdr:to>
      <xdr:col>1</xdr:col>
      <xdr:colOff>1047960</xdr:colOff>
      <xdr:row>2</xdr:row>
      <xdr:rowOff>170280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57240" y="47520"/>
          <a:ext cx="1809720" cy="503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7</xdr:col>
      <xdr:colOff>1181160</xdr:colOff>
      <xdr:row>0</xdr:row>
      <xdr:rowOff>28440</xdr:rowOff>
    </xdr:from>
    <xdr:to>
      <xdr:col>9</xdr:col>
      <xdr:colOff>1161720</xdr:colOff>
      <xdr:row>2</xdr:row>
      <xdr:rowOff>188280</xdr:rowOff>
    </xdr:to>
    <xdr:pic>
      <xdr:nvPicPr>
        <xdr:cNvPr id="3" name="Imagem 2" descr=""/>
        <xdr:cNvPicPr/>
      </xdr:nvPicPr>
      <xdr:blipFill>
        <a:blip r:embed="rId2"/>
        <a:stretch/>
      </xdr:blipFill>
      <xdr:spPr>
        <a:xfrm>
          <a:off x="11790000" y="28440"/>
          <a:ext cx="2392200" cy="54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57240</xdr:colOff>
      <xdr:row>0</xdr:row>
      <xdr:rowOff>47520</xdr:rowOff>
    </xdr:from>
    <xdr:to>
      <xdr:col>2</xdr:col>
      <xdr:colOff>181080</xdr:colOff>
      <xdr:row>2</xdr:row>
      <xdr:rowOff>170280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57240" y="47520"/>
          <a:ext cx="1826640" cy="503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9</xdr:col>
      <xdr:colOff>123840</xdr:colOff>
      <xdr:row>0</xdr:row>
      <xdr:rowOff>38160</xdr:rowOff>
    </xdr:from>
    <xdr:to>
      <xdr:col>35</xdr:col>
      <xdr:colOff>180720</xdr:colOff>
      <xdr:row>3</xdr:row>
      <xdr:rowOff>7560</xdr:rowOff>
    </xdr:to>
    <xdr:pic>
      <xdr:nvPicPr>
        <xdr:cNvPr id="5" name="Imagem 2" descr=""/>
        <xdr:cNvPicPr/>
      </xdr:nvPicPr>
      <xdr:blipFill>
        <a:blip r:embed="rId2"/>
        <a:stretch/>
      </xdr:blipFill>
      <xdr:spPr>
        <a:xfrm>
          <a:off x="10727640" y="38160"/>
          <a:ext cx="2397960" cy="54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76320</xdr:colOff>
      <xdr:row>0</xdr:row>
      <xdr:rowOff>57240</xdr:rowOff>
    </xdr:from>
    <xdr:to>
      <xdr:col>2</xdr:col>
      <xdr:colOff>200160</xdr:colOff>
      <xdr:row>2</xdr:row>
      <xdr:rowOff>180000</xdr:rowOff>
    </xdr:to>
    <xdr:pic>
      <xdr:nvPicPr>
        <xdr:cNvPr id="6" name="Picture 1" descr=""/>
        <xdr:cNvPicPr/>
      </xdr:nvPicPr>
      <xdr:blipFill>
        <a:blip r:embed="rId1"/>
        <a:stretch/>
      </xdr:blipFill>
      <xdr:spPr>
        <a:xfrm>
          <a:off x="76320" y="57240"/>
          <a:ext cx="1826640" cy="503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9</xdr:col>
      <xdr:colOff>66600</xdr:colOff>
      <xdr:row>0</xdr:row>
      <xdr:rowOff>57240</xdr:rowOff>
    </xdr:from>
    <xdr:to>
      <xdr:col>33</xdr:col>
      <xdr:colOff>587520</xdr:colOff>
      <xdr:row>3</xdr:row>
      <xdr:rowOff>25560</xdr:rowOff>
    </xdr:to>
    <xdr:pic>
      <xdr:nvPicPr>
        <xdr:cNvPr id="7" name="Imagem 7" descr=""/>
        <xdr:cNvPicPr/>
      </xdr:nvPicPr>
      <xdr:blipFill>
        <a:blip r:embed="rId2"/>
        <a:stretch/>
      </xdr:blipFill>
      <xdr:spPr>
        <a:xfrm>
          <a:off x="10709640" y="57240"/>
          <a:ext cx="2300760" cy="539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47520</xdr:colOff>
      <xdr:row>0</xdr:row>
      <xdr:rowOff>47520</xdr:rowOff>
    </xdr:from>
    <xdr:to>
      <xdr:col>1</xdr:col>
      <xdr:colOff>736200</xdr:colOff>
      <xdr:row>2</xdr:row>
      <xdr:rowOff>171000</xdr:rowOff>
    </xdr:to>
    <xdr:pic>
      <xdr:nvPicPr>
        <xdr:cNvPr id="8" name="Picture 1" descr=""/>
        <xdr:cNvPicPr/>
      </xdr:nvPicPr>
      <xdr:blipFill>
        <a:blip r:embed="rId1"/>
        <a:stretch/>
      </xdr:blipFill>
      <xdr:spPr>
        <a:xfrm>
          <a:off x="47520" y="47520"/>
          <a:ext cx="1816920" cy="5043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1066680</xdr:colOff>
      <xdr:row>0</xdr:row>
      <xdr:rowOff>38160</xdr:rowOff>
    </xdr:from>
    <xdr:to>
      <xdr:col>8</xdr:col>
      <xdr:colOff>961920</xdr:colOff>
      <xdr:row>3</xdr:row>
      <xdr:rowOff>6480</xdr:rowOff>
    </xdr:to>
    <xdr:pic>
      <xdr:nvPicPr>
        <xdr:cNvPr id="9" name="Imagem 2" descr=""/>
        <xdr:cNvPicPr/>
      </xdr:nvPicPr>
      <xdr:blipFill>
        <a:blip r:embed="rId2"/>
        <a:stretch/>
      </xdr:blipFill>
      <xdr:spPr>
        <a:xfrm>
          <a:off x="11088720" y="38160"/>
          <a:ext cx="2306880" cy="539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47520</xdr:colOff>
      <xdr:row>0</xdr:row>
      <xdr:rowOff>47520</xdr:rowOff>
    </xdr:from>
    <xdr:to>
      <xdr:col>0</xdr:col>
      <xdr:colOff>1667880</xdr:colOff>
      <xdr:row>2</xdr:row>
      <xdr:rowOff>156600</xdr:rowOff>
    </xdr:to>
    <xdr:pic>
      <xdr:nvPicPr>
        <xdr:cNvPr id="10" name="Picture 1" descr=""/>
        <xdr:cNvPicPr/>
      </xdr:nvPicPr>
      <xdr:blipFill>
        <a:blip r:embed="rId1"/>
        <a:stretch/>
      </xdr:blipFill>
      <xdr:spPr>
        <a:xfrm>
          <a:off x="47520" y="47520"/>
          <a:ext cx="1620360" cy="4327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3779280</xdr:colOff>
      <xdr:row>0</xdr:row>
      <xdr:rowOff>28440</xdr:rowOff>
    </xdr:from>
    <xdr:to>
      <xdr:col>3</xdr:col>
      <xdr:colOff>1120320</xdr:colOff>
      <xdr:row>2</xdr:row>
      <xdr:rowOff>137520</xdr:rowOff>
    </xdr:to>
    <xdr:pic>
      <xdr:nvPicPr>
        <xdr:cNvPr id="11" name="Imagem 3" descr=""/>
        <xdr:cNvPicPr/>
      </xdr:nvPicPr>
      <xdr:blipFill>
        <a:blip r:embed="rId2"/>
        <a:stretch/>
      </xdr:blipFill>
      <xdr:spPr>
        <a:xfrm>
          <a:off x="5546160" y="28440"/>
          <a:ext cx="1933560" cy="432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79560</xdr:colOff>
      <xdr:row>0</xdr:row>
      <xdr:rowOff>63000</xdr:rowOff>
    </xdr:from>
    <xdr:to>
      <xdr:col>1</xdr:col>
      <xdr:colOff>1731600</xdr:colOff>
      <xdr:row>3</xdr:row>
      <xdr:rowOff>103320</xdr:rowOff>
    </xdr:to>
    <xdr:pic>
      <xdr:nvPicPr>
        <xdr:cNvPr id="12" name="Picture 1" descr=""/>
        <xdr:cNvPicPr/>
      </xdr:nvPicPr>
      <xdr:blipFill>
        <a:blip r:embed="rId1"/>
        <a:stretch/>
      </xdr:blipFill>
      <xdr:spPr>
        <a:xfrm>
          <a:off x="79560" y="63000"/>
          <a:ext cx="2309760" cy="611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13</xdr:col>
      <xdr:colOff>335520</xdr:colOff>
      <xdr:row>0</xdr:row>
      <xdr:rowOff>46080</xdr:rowOff>
    </xdr:from>
    <xdr:to>
      <xdr:col>17</xdr:col>
      <xdr:colOff>597600</xdr:colOff>
      <xdr:row>3</xdr:row>
      <xdr:rowOff>86400</xdr:rowOff>
    </xdr:to>
    <xdr:pic>
      <xdr:nvPicPr>
        <xdr:cNvPr id="13" name="Imagem 3" descr=""/>
        <xdr:cNvPicPr/>
      </xdr:nvPicPr>
      <xdr:blipFill>
        <a:blip r:embed="rId2"/>
        <a:stretch/>
      </xdr:blipFill>
      <xdr:spPr>
        <a:xfrm>
          <a:off x="17859600" y="46080"/>
          <a:ext cx="2687760" cy="611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36</xdr:col>
      <xdr:colOff>230040</xdr:colOff>
      <xdr:row>0</xdr:row>
      <xdr:rowOff>41400</xdr:rowOff>
    </xdr:from>
    <xdr:to>
      <xdr:col>40</xdr:col>
      <xdr:colOff>492120</xdr:colOff>
      <xdr:row>3</xdr:row>
      <xdr:rowOff>81720</xdr:rowOff>
    </xdr:to>
    <xdr:pic>
      <xdr:nvPicPr>
        <xdr:cNvPr id="14" name="Imagem 3" descr=""/>
        <xdr:cNvPicPr/>
      </xdr:nvPicPr>
      <xdr:blipFill>
        <a:blip r:embed="rId3"/>
        <a:stretch/>
      </xdr:blipFill>
      <xdr:spPr>
        <a:xfrm>
          <a:off x="31701600" y="41400"/>
          <a:ext cx="2687760" cy="611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85680</xdr:colOff>
      <xdr:row>0</xdr:row>
      <xdr:rowOff>85680</xdr:rowOff>
    </xdr:from>
    <xdr:to>
      <xdr:col>1</xdr:col>
      <xdr:colOff>1096560</xdr:colOff>
      <xdr:row>2</xdr:row>
      <xdr:rowOff>145800</xdr:rowOff>
    </xdr:to>
    <xdr:pic>
      <xdr:nvPicPr>
        <xdr:cNvPr id="15" name="Picture 1" descr=""/>
        <xdr:cNvPicPr/>
      </xdr:nvPicPr>
      <xdr:blipFill>
        <a:blip r:embed="rId1"/>
        <a:stretch/>
      </xdr:blipFill>
      <xdr:spPr>
        <a:xfrm>
          <a:off x="85680" y="85680"/>
          <a:ext cx="1629720" cy="4154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912960</xdr:colOff>
      <xdr:row>0</xdr:row>
      <xdr:rowOff>85680</xdr:rowOff>
    </xdr:from>
    <xdr:to>
      <xdr:col>5</xdr:col>
      <xdr:colOff>876960</xdr:colOff>
      <xdr:row>2</xdr:row>
      <xdr:rowOff>145800</xdr:rowOff>
    </xdr:to>
    <xdr:pic>
      <xdr:nvPicPr>
        <xdr:cNvPr id="16" name="Imagem 3" descr=""/>
        <xdr:cNvPicPr/>
      </xdr:nvPicPr>
      <xdr:blipFill>
        <a:blip r:embed="rId2"/>
        <a:stretch/>
      </xdr:blipFill>
      <xdr:spPr>
        <a:xfrm>
          <a:off x="5911560" y="85680"/>
          <a:ext cx="1899360" cy="4154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PGR/SEA/SFCR%20-%20MPF/PR-GO%20-%20SFCR/MG-PRM-UBERLANDIA-ELE-SFCR-ORC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TRUÇÕES"/>
      <sheetName val="SINTÉTICA"/>
      <sheetName val="ANALÍTICA"/>
      <sheetName val="ANALÍTICA AUXILIARES"/>
      <sheetName val="INSUMOS"/>
      <sheetName val="BDI"/>
      <sheetName val="CRONOGRAMA"/>
      <sheetName val="LEIS SOCIAIS"/>
    </sheetNames>
    <sheetDataSet>
      <sheetData sheetId="0"/>
      <sheetData sheetId="1">
        <row r="14">
          <cell r="D14" t="str">
            <v>SERVIÇOS PRELIMINARES</v>
          </cell>
        </row>
        <row r="22">
          <cell r="D22" t="str">
            <v>SISTEMA FOTOVOLTAICO CONECTADO À REDE</v>
          </cell>
        </row>
        <row r="52">
          <cell r="D52" t="str">
            <v>ADMINISTRAÇÃO DE OBRA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5" zeroHeight="false" outlineLevelRow="0" outlineLevelCol="0"/>
  <cols>
    <col collapsed="false" customWidth="true" hidden="false" outlineLevel="0" max="1" min="1" style="1" width="22.83"/>
    <col collapsed="false" customWidth="true" hidden="false" outlineLevel="0" max="2" min="2" style="1" width="70.58"/>
    <col collapsed="false" customWidth="true" hidden="false" outlineLevel="0" max="3" min="3" style="1" width="9.5"/>
    <col collapsed="false" customWidth="true" hidden="false" outlineLevel="0" max="4" min="4" style="2" width="15.09"/>
    <col collapsed="false" customWidth="true" hidden="false" outlineLevel="0" max="256" min="5" style="1" width="7.84"/>
    <col collapsed="false" customWidth="true" hidden="false" outlineLevel="0" max="257" min="257" style="1" width="22.83"/>
    <col collapsed="false" customWidth="true" hidden="false" outlineLevel="0" max="258" min="258" style="1" width="49.83"/>
    <col collapsed="false" customWidth="true" hidden="false" outlineLevel="0" max="259" min="259" style="1" width="9.5"/>
    <col collapsed="false" customWidth="true" hidden="false" outlineLevel="0" max="260" min="260" style="1" width="15.09"/>
    <col collapsed="false" customWidth="true" hidden="false" outlineLevel="0" max="512" min="261" style="1" width="7.84"/>
    <col collapsed="false" customWidth="true" hidden="false" outlineLevel="0" max="513" min="513" style="1" width="22.83"/>
    <col collapsed="false" customWidth="true" hidden="false" outlineLevel="0" max="514" min="514" style="1" width="49.83"/>
    <col collapsed="false" customWidth="true" hidden="false" outlineLevel="0" max="515" min="515" style="1" width="9.5"/>
    <col collapsed="false" customWidth="true" hidden="false" outlineLevel="0" max="516" min="516" style="1" width="15.09"/>
    <col collapsed="false" customWidth="true" hidden="false" outlineLevel="0" max="768" min="517" style="1" width="7.84"/>
    <col collapsed="false" customWidth="true" hidden="false" outlineLevel="0" max="769" min="769" style="1" width="22.83"/>
    <col collapsed="false" customWidth="true" hidden="false" outlineLevel="0" max="770" min="770" style="1" width="49.83"/>
    <col collapsed="false" customWidth="true" hidden="false" outlineLevel="0" max="771" min="771" style="1" width="9.5"/>
    <col collapsed="false" customWidth="true" hidden="false" outlineLevel="0" max="772" min="772" style="1" width="15.09"/>
    <col collapsed="false" customWidth="true" hidden="false" outlineLevel="0" max="1025" min="773" style="1" width="7.84"/>
  </cols>
  <sheetData>
    <row r="1" customFormat="false" ht="15" hidden="false" customHeight="true" outlineLevel="0" collapsed="false">
      <c r="A1" s="3"/>
      <c r="B1" s="3"/>
      <c r="C1" s="3"/>
      <c r="D1" s="3"/>
    </row>
    <row r="2" customFormat="false" ht="15" hidden="false" customHeight="true" outlineLevel="0" collapsed="false">
      <c r="A2" s="4" t="s">
        <v>0</v>
      </c>
      <c r="B2" s="4"/>
      <c r="C2" s="4"/>
      <c r="D2" s="4"/>
      <c r="E2" s="4"/>
    </row>
    <row r="3" customFormat="false" ht="15" hidden="false" customHeight="true" outlineLevel="0" collapsed="false">
      <c r="A3" s="4" t="s">
        <v>1</v>
      </c>
      <c r="B3" s="4"/>
      <c r="C3" s="4"/>
      <c r="D3" s="4"/>
      <c r="E3" s="4"/>
    </row>
    <row r="4" customFormat="false" ht="15" hidden="false" customHeight="true" outlineLevel="0" collapsed="false">
      <c r="A4" s="3"/>
      <c r="B4" s="3"/>
      <c r="C4" s="3"/>
      <c r="D4" s="3"/>
    </row>
    <row r="5" customFormat="false" ht="15" hidden="false" customHeight="true" outlineLevel="0" collapsed="false">
      <c r="A5" s="5"/>
      <c r="B5" s="5"/>
      <c r="C5" s="5"/>
      <c r="D5" s="5"/>
    </row>
    <row r="6" customFormat="false" ht="25" hidden="false" customHeight="true" outlineLevel="0" collapsed="false">
      <c r="A6" s="6" t="s">
        <v>2</v>
      </c>
      <c r="B6" s="6"/>
      <c r="C6" s="6"/>
      <c r="D6" s="6"/>
      <c r="E6" s="6"/>
    </row>
    <row r="7" customFormat="false" ht="15" hidden="false" customHeight="true" outlineLevel="0" collapsed="false">
      <c r="A7" s="7"/>
      <c r="B7" s="7"/>
      <c r="C7" s="7"/>
      <c r="D7" s="7"/>
      <c r="E7" s="8"/>
    </row>
    <row r="8" customFormat="false" ht="15" hidden="false" customHeight="true" outlineLevel="0" collapsed="false">
      <c r="A8" s="7" t="s">
        <v>3</v>
      </c>
      <c r="B8" s="7"/>
      <c r="C8" s="7"/>
      <c r="D8" s="7"/>
      <c r="E8" s="7"/>
    </row>
    <row r="9" s="11" customFormat="true" ht="15" hidden="false" customHeight="true" outlineLevel="0" collapsed="false">
      <c r="A9" s="9"/>
      <c r="B9" s="9"/>
      <c r="C9" s="9"/>
      <c r="D9" s="10"/>
    </row>
    <row r="10" s="11" customFormat="true" ht="15" hidden="false" customHeight="true" outlineLevel="0" collapsed="false">
      <c r="A10" s="9"/>
      <c r="B10" s="9"/>
      <c r="C10" s="9"/>
      <c r="D10" s="10"/>
    </row>
    <row r="11" customFormat="false" ht="45" hidden="false" customHeight="true" outlineLevel="0" collapsed="false">
      <c r="A11" s="12" t="n">
        <v>1</v>
      </c>
      <c r="B11" s="13" t="s">
        <v>4</v>
      </c>
      <c r="C11" s="13"/>
      <c r="D11" s="13"/>
    </row>
    <row r="12" customFormat="false" ht="13" hidden="false" customHeight="false" outlineLevel="0" collapsed="false">
      <c r="A12" s="14"/>
      <c r="B12" s="15"/>
      <c r="C12" s="15"/>
      <c r="D12" s="16"/>
    </row>
    <row r="13" customFormat="false" ht="45" hidden="false" customHeight="true" outlineLevel="0" collapsed="false">
      <c r="A13" s="12" t="n">
        <v>2</v>
      </c>
      <c r="B13" s="13" t="s">
        <v>5</v>
      </c>
      <c r="C13" s="13"/>
      <c r="D13" s="13"/>
    </row>
    <row r="14" customFormat="false" ht="13" hidden="false" customHeight="false" outlineLevel="0" collapsed="false">
      <c r="A14" s="14"/>
      <c r="B14" s="15"/>
      <c r="C14" s="15"/>
      <c r="D14" s="16"/>
    </row>
    <row r="15" customFormat="false" ht="45" hidden="false" customHeight="true" outlineLevel="0" collapsed="false">
      <c r="A15" s="12" t="n">
        <v>3</v>
      </c>
      <c r="B15" s="17" t="s">
        <v>6</v>
      </c>
      <c r="C15" s="17"/>
      <c r="D15" s="17"/>
    </row>
    <row r="16" customFormat="false" ht="13" hidden="false" customHeight="false" outlineLevel="0" collapsed="false">
      <c r="A16" s="14"/>
      <c r="B16" s="15"/>
      <c r="C16" s="15"/>
      <c r="D16" s="16"/>
    </row>
    <row r="17" customFormat="false" ht="45" hidden="false" customHeight="true" outlineLevel="0" collapsed="false">
      <c r="A17" s="12" t="n">
        <v>4</v>
      </c>
      <c r="B17" s="18" t="s">
        <v>7</v>
      </c>
      <c r="C17" s="18"/>
      <c r="D17" s="18"/>
    </row>
    <row r="18" customFormat="false" ht="13" hidden="false" customHeight="false" outlineLevel="0" collapsed="false">
      <c r="A18" s="14"/>
      <c r="B18" s="15"/>
      <c r="C18" s="15"/>
      <c r="D18" s="16"/>
    </row>
    <row r="19" customFormat="false" ht="45" hidden="false" customHeight="true" outlineLevel="0" collapsed="false">
      <c r="A19" s="12" t="n">
        <v>5</v>
      </c>
      <c r="B19" s="18" t="s">
        <v>8</v>
      </c>
      <c r="C19" s="18"/>
      <c r="D19" s="18"/>
    </row>
    <row r="20" customFormat="false" ht="13" hidden="false" customHeight="false" outlineLevel="0" collapsed="false">
      <c r="A20" s="14"/>
      <c r="B20" s="15"/>
      <c r="C20" s="15"/>
      <c r="D20" s="16"/>
    </row>
    <row r="21" customFormat="false" ht="45" hidden="false" customHeight="true" outlineLevel="0" collapsed="false">
      <c r="A21" s="12" t="n">
        <v>6</v>
      </c>
      <c r="B21" s="18" t="s">
        <v>9</v>
      </c>
      <c r="C21" s="18"/>
      <c r="D21" s="18"/>
    </row>
    <row r="22" customFormat="false" ht="13" hidden="false" customHeight="false" outlineLevel="0" collapsed="false">
      <c r="A22" s="14"/>
      <c r="B22" s="15"/>
      <c r="C22" s="15"/>
      <c r="D22" s="16"/>
    </row>
    <row r="23" customFormat="false" ht="45" hidden="false" customHeight="true" outlineLevel="0" collapsed="false">
      <c r="A23" s="12" t="n">
        <v>7</v>
      </c>
      <c r="B23" s="18" t="s">
        <v>10</v>
      </c>
      <c r="C23" s="18"/>
      <c r="D23" s="18"/>
    </row>
    <row r="24" customFormat="false" ht="13" hidden="false" customHeight="false" outlineLevel="0" collapsed="false">
      <c r="B24" s="19"/>
      <c r="C24" s="19"/>
      <c r="D24" s="20"/>
    </row>
    <row r="25" customFormat="false" ht="45" hidden="false" customHeight="true" outlineLevel="0" collapsed="false">
      <c r="A25" s="12" t="n">
        <v>8</v>
      </c>
      <c r="B25" s="18" t="s">
        <v>11</v>
      </c>
      <c r="C25" s="18"/>
      <c r="D25" s="18"/>
    </row>
    <row r="26" customFormat="false" ht="13" hidden="false" customHeight="false" outlineLevel="0" collapsed="false">
      <c r="B26" s="19"/>
      <c r="C26" s="19"/>
      <c r="D26" s="20"/>
    </row>
    <row r="27" customFormat="false" ht="45" hidden="false" customHeight="true" outlineLevel="0" collapsed="false">
      <c r="A27" s="12" t="n">
        <v>9</v>
      </c>
      <c r="B27" s="18" t="s">
        <v>12</v>
      </c>
      <c r="C27" s="18"/>
      <c r="D27" s="18"/>
    </row>
  </sheetData>
  <sheetProtection sheet="true" objects="true" scenarios="true"/>
  <mergeCells count="16">
    <mergeCell ref="A1:D1"/>
    <mergeCell ref="A2:E2"/>
    <mergeCell ref="A3:E3"/>
    <mergeCell ref="A4:D4"/>
    <mergeCell ref="A6:E6"/>
    <mergeCell ref="A7:D7"/>
    <mergeCell ref="A8:E8"/>
    <mergeCell ref="B11:D11"/>
    <mergeCell ref="B13:D13"/>
    <mergeCell ref="B15:D15"/>
    <mergeCell ref="B17:D17"/>
    <mergeCell ref="B19:D19"/>
    <mergeCell ref="B21:D21"/>
    <mergeCell ref="B23:D23"/>
    <mergeCell ref="B25:D25"/>
    <mergeCell ref="B27:D27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58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F26" activeCellId="0" sqref="F26"/>
    </sheetView>
  </sheetViews>
  <sheetFormatPr defaultRowHeight="14" zeroHeight="false" outlineLevelRow="0" outlineLevelCol="0"/>
  <cols>
    <col collapsed="false" customWidth="true" hidden="false" outlineLevel="0" max="1" min="1" style="21" width="10.58"/>
    <col collapsed="false" customWidth="true" hidden="false" outlineLevel="0" max="2" min="2" style="21" width="15.58"/>
    <col collapsed="false" customWidth="true" hidden="false" outlineLevel="0" max="3" min="3" style="21" width="10.58"/>
    <col collapsed="false" customWidth="true" hidden="false" outlineLevel="0" max="4" min="4" style="21" width="60.58"/>
    <col collapsed="false" customWidth="true" hidden="false" outlineLevel="0" max="5" min="5" style="21" width="8.58"/>
    <col collapsed="false" customWidth="true" hidden="false" outlineLevel="0" max="8" min="6" style="22" width="15.58"/>
    <col collapsed="false" customWidth="true" hidden="false" outlineLevel="0" max="10" min="9" style="21" width="15.58"/>
    <col collapsed="false" customWidth="true" hidden="false" outlineLevel="0" max="1025" min="11" style="21" width="9"/>
  </cols>
  <sheetData>
    <row r="1" customFormat="false" ht="15" hidden="false" customHeight="true" outlineLevel="0" collapsed="false">
      <c r="A1" s="23"/>
      <c r="B1" s="23"/>
      <c r="C1" s="23"/>
      <c r="D1" s="23"/>
      <c r="E1" s="23"/>
      <c r="F1" s="23"/>
      <c r="G1" s="23"/>
      <c r="H1" s="23"/>
      <c r="I1" s="23"/>
      <c r="J1" s="23"/>
    </row>
    <row r="2" customFormat="false" ht="15" hidden="false" customHeight="true" outlineLevel="0" collapsed="false">
      <c r="A2" s="24" t="str">
        <f aca="false">INSTRUÇÕES!A2</f>
        <v>PROCURADORIA GERAL DA REPÚBLICA</v>
      </c>
      <c r="B2" s="24"/>
      <c r="C2" s="24"/>
      <c r="D2" s="24"/>
      <c r="E2" s="24"/>
      <c r="F2" s="24"/>
      <c r="G2" s="24"/>
      <c r="H2" s="24"/>
      <c r="I2" s="24"/>
      <c r="J2" s="24"/>
    </row>
    <row r="3" customFormat="false" ht="15" hidden="false" customHeight="true" outlineLevel="0" collapsed="false">
      <c r="A3" s="24" t="str">
        <f aca="false">INSTRUÇÕES!A3</f>
        <v>SECRETARIA DE ENGENHARIA E ARQUITETURA</v>
      </c>
      <c r="B3" s="24"/>
      <c r="C3" s="24"/>
      <c r="D3" s="24"/>
      <c r="E3" s="24"/>
      <c r="F3" s="24"/>
      <c r="G3" s="24"/>
      <c r="H3" s="24"/>
      <c r="I3" s="24"/>
      <c r="J3" s="24"/>
    </row>
    <row r="4" customFormat="false" ht="15" hidden="false" customHeight="true" outlineLevel="0" collapsed="false">
      <c r="A4" s="24"/>
      <c r="B4" s="24"/>
      <c r="C4" s="24"/>
      <c r="D4" s="24"/>
      <c r="E4" s="24"/>
      <c r="F4" s="24"/>
      <c r="G4" s="24"/>
      <c r="H4" s="24"/>
      <c r="I4" s="24"/>
      <c r="J4" s="24"/>
    </row>
    <row r="5" customFormat="false" ht="15" hidden="false" customHeight="true" outlineLevel="0" collapsed="false">
      <c r="A5" s="25" t="str">
        <f aca="false">INSTRUÇÕES!A6</f>
        <v>OBRA: SFCR DA PROCURADORIA DA REPÚBLICA EM GOIÁS (PR-GO)</v>
      </c>
      <c r="B5" s="25"/>
      <c r="C5" s="25"/>
      <c r="D5" s="25"/>
      <c r="E5" s="25"/>
      <c r="F5" s="25"/>
      <c r="G5" s="25"/>
      <c r="H5" s="25"/>
      <c r="I5" s="25"/>
      <c r="J5" s="25"/>
    </row>
    <row r="6" s="27" customFormat="true" ht="25" hidden="false" customHeight="true" outlineLevel="0" collapsed="false">
      <c r="A6" s="26" t="s">
        <v>13</v>
      </c>
      <c r="B6" s="26"/>
      <c r="C6" s="26"/>
      <c r="D6" s="26"/>
      <c r="E6" s="26"/>
      <c r="F6" s="26"/>
      <c r="G6" s="26"/>
      <c r="H6" s="26"/>
      <c r="I6" s="26"/>
      <c r="J6" s="26"/>
    </row>
    <row r="7" customFormat="false" ht="15" hidden="false" customHeight="true" outlineLevel="0" collapsed="false">
      <c r="A7" s="28"/>
      <c r="B7" s="28"/>
      <c r="C7" s="28"/>
      <c r="D7" s="28"/>
      <c r="E7" s="28"/>
      <c r="F7" s="28"/>
      <c r="G7" s="28"/>
      <c r="H7" s="28"/>
      <c r="I7" s="28"/>
      <c r="J7" s="28"/>
    </row>
    <row r="8" customFormat="false" ht="15" hidden="false" customHeight="true" outlineLevel="0" collapsed="false">
      <c r="A8" s="29"/>
      <c r="B8" s="29"/>
      <c r="C8" s="29"/>
      <c r="D8" s="29"/>
      <c r="E8" s="30" t="s">
        <v>14</v>
      </c>
      <c r="F8" s="30"/>
      <c r="G8" s="30"/>
      <c r="H8" s="30"/>
      <c r="I8" s="30"/>
      <c r="J8" s="31" t="n">
        <f aca="false">BDI!D9</f>
        <v>1.1542</v>
      </c>
    </row>
    <row r="9" customFormat="false" ht="15" hidden="false" customHeight="true" outlineLevel="0" collapsed="false">
      <c r="A9" s="29"/>
      <c r="B9" s="29"/>
      <c r="C9" s="29"/>
      <c r="D9" s="29"/>
      <c r="E9" s="30" t="s">
        <v>15</v>
      </c>
      <c r="F9" s="30"/>
      <c r="G9" s="30"/>
      <c r="H9" s="30"/>
      <c r="I9" s="30"/>
      <c r="J9" s="31" t="n">
        <f aca="false">BDI!D23</f>
        <v>0.2222</v>
      </c>
    </row>
    <row r="10" customFormat="false" ht="15" hidden="false" customHeight="true" outlineLevel="0" collapsed="false">
      <c r="A10" s="29"/>
      <c r="B10" s="29"/>
      <c r="C10" s="29"/>
      <c r="D10" s="29"/>
      <c r="E10" s="30" t="s">
        <v>16</v>
      </c>
      <c r="F10" s="30"/>
      <c r="G10" s="30"/>
      <c r="H10" s="30"/>
      <c r="I10" s="30"/>
      <c r="J10" s="32"/>
    </row>
    <row r="11" customFormat="false" ht="15" hidden="false" customHeight="true" outlineLevel="0" collapsed="false">
      <c r="A11" s="29"/>
      <c r="B11" s="29"/>
      <c r="C11" s="29"/>
      <c r="D11" s="29"/>
      <c r="E11" s="29"/>
      <c r="F11" s="33"/>
      <c r="G11" s="33"/>
      <c r="H11" s="33"/>
      <c r="I11" s="29"/>
      <c r="J11" s="29"/>
    </row>
    <row r="12" customFormat="false" ht="30" hidden="false" customHeight="true" outlineLevel="0" collapsed="false">
      <c r="A12" s="34" t="s">
        <v>17</v>
      </c>
      <c r="B12" s="34" t="s">
        <v>18</v>
      </c>
      <c r="C12" s="34" t="s">
        <v>19</v>
      </c>
      <c r="D12" s="34" t="s">
        <v>20</v>
      </c>
      <c r="E12" s="34" t="s">
        <v>21</v>
      </c>
      <c r="F12" s="35" t="s">
        <v>22</v>
      </c>
      <c r="G12" s="35" t="s">
        <v>23</v>
      </c>
      <c r="H12" s="35" t="s">
        <v>24</v>
      </c>
      <c r="I12" s="34" t="s">
        <v>25</v>
      </c>
      <c r="J12" s="34" t="s">
        <v>26</v>
      </c>
    </row>
    <row r="13" customFormat="false" ht="14" hidden="false" customHeight="false" outlineLevel="0" collapsed="false">
      <c r="A13" s="36"/>
      <c r="B13" s="37"/>
      <c r="C13" s="36"/>
      <c r="D13" s="36"/>
      <c r="E13" s="38"/>
      <c r="F13" s="39"/>
      <c r="G13" s="39"/>
      <c r="H13" s="39"/>
      <c r="I13" s="37"/>
      <c r="J13" s="37"/>
    </row>
    <row r="14" s="29" customFormat="true" ht="30" hidden="false" customHeight="true" outlineLevel="0" collapsed="false">
      <c r="A14" s="40" t="s">
        <v>27</v>
      </c>
      <c r="B14" s="41"/>
      <c r="C14" s="41"/>
      <c r="D14" s="40" t="s">
        <v>28</v>
      </c>
      <c r="E14" s="41"/>
      <c r="F14" s="42"/>
      <c r="G14" s="43"/>
      <c r="H14" s="43"/>
      <c r="I14" s="42" t="n">
        <f aca="false">I15+I17+I20</f>
        <v>3127.32</v>
      </c>
      <c r="J14" s="44" t="n">
        <f aca="false">J15+J17+J20</f>
        <v>0.0113808144343017</v>
      </c>
      <c r="K14" s="45" t="str">
        <f aca="false">IF(ISBLANK($A14),"",HYPERLINK("#ANALÍTICA!A"&amp;MATCH($A14,ANALÍTICA!A:A,0),"Link"))</f>
        <v>Link</v>
      </c>
    </row>
    <row r="15" s="29" customFormat="true" ht="14" hidden="false" customHeight="false" outlineLevel="0" collapsed="false">
      <c r="A15" s="46" t="s">
        <v>29</v>
      </c>
      <c r="B15" s="46"/>
      <c r="C15" s="46"/>
      <c r="D15" s="46" t="s">
        <v>30</v>
      </c>
      <c r="E15" s="46"/>
      <c r="F15" s="47"/>
      <c r="G15" s="46"/>
      <c r="H15" s="46"/>
      <c r="I15" s="48" t="n">
        <f aca="false">I16</f>
        <v>842.52</v>
      </c>
      <c r="J15" s="49" t="n">
        <f aca="false">J16</f>
        <v>0.00306606416266574</v>
      </c>
      <c r="K15" s="45" t="str">
        <f aca="false">IF(ISBLANK($A15),"",HYPERLINK("#ANALÍTICA!A"&amp;MATCH($A15,ANALÍTICA!A:A,0),"Link"))</f>
        <v>Link</v>
      </c>
    </row>
    <row r="16" customFormat="false" ht="14" hidden="false" customHeight="false" outlineLevel="0" collapsed="false">
      <c r="A16" s="50" t="s">
        <v>31</v>
      </c>
      <c r="B16" s="51" t="s">
        <v>32</v>
      </c>
      <c r="C16" s="50" t="str">
        <f aca="false">UPPER(VLOOKUP(B16,ANALÍTICA!B:J,2,0))</f>
        <v>SINAPI</v>
      </c>
      <c r="D16" s="50" t="str">
        <f aca="false">UPPER(VLOOKUP(B16,ANALÍTICA!B:J,3,0))</f>
        <v>PLACA DE OBRA EM CHAPA DE ACO GALVANIZADO</v>
      </c>
      <c r="E16" s="52" t="str">
        <f aca="false">UPPER(VLOOKUP(B16,ANALÍTICA!B:J,6,0))</f>
        <v>M²</v>
      </c>
      <c r="F16" s="53" t="n">
        <v>1.6</v>
      </c>
      <c r="G16" s="53" t="n">
        <f aca="false">VLOOKUP(B16,ANALÍTICA!B:J,8,0)</f>
        <v>430.85</v>
      </c>
      <c r="H16" s="53" t="n">
        <f aca="false">TRUNC(G16*(1+J$9),2)</f>
        <v>526.58</v>
      </c>
      <c r="I16" s="53" t="n">
        <f aca="false">TRUNC(H16*F16,2)</f>
        <v>842.52</v>
      </c>
      <c r="J16" s="54" t="n">
        <f aca="false">I16/$I$55</f>
        <v>0.00306606416266574</v>
      </c>
      <c r="K16" s="45" t="str">
        <f aca="false">IF(ISBLANK($A16),"",HYPERLINK("#ANALÍTICA!A"&amp;MATCH($A16,ANALÍTICA!A:A,0),"Link"))</f>
        <v>Link</v>
      </c>
    </row>
    <row r="17" customFormat="false" ht="14" hidden="false" customHeight="false" outlineLevel="0" collapsed="false">
      <c r="A17" s="46" t="s">
        <v>33</v>
      </c>
      <c r="B17" s="46"/>
      <c r="C17" s="46"/>
      <c r="D17" s="46" t="s">
        <v>34</v>
      </c>
      <c r="E17" s="46"/>
      <c r="F17" s="47"/>
      <c r="G17" s="46"/>
      <c r="H17" s="46"/>
      <c r="I17" s="48" t="n">
        <f aca="false">SUM(I18:I19)</f>
        <v>1819.64</v>
      </c>
      <c r="J17" s="49" t="n">
        <f aca="false">SUM(J18:J19)</f>
        <v>0.00662195911426802</v>
      </c>
      <c r="K17" s="45" t="str">
        <f aca="false">IF(ISBLANK($A17),"",HYPERLINK("#ANALÍTICA!A"&amp;MATCH($A17,ANALÍTICA!A:A,0),"Link"))</f>
        <v>Link</v>
      </c>
    </row>
    <row r="18" s="29" customFormat="true" ht="50" hidden="false" customHeight="false" outlineLevel="0" collapsed="false">
      <c r="A18" s="50" t="s">
        <v>35</v>
      </c>
      <c r="B18" s="51" t="s">
        <v>36</v>
      </c>
      <c r="C18" s="50" t="str">
        <f aca="false">UPPER(VLOOKUP(B18,ANALÍTICA!B:J,2,0))</f>
        <v>SINAPI</v>
      </c>
      <c r="D18" s="50" t="str">
        <f aca="false">UPPER(VLOOKUP(B18,ANALÍTICA!B:J,3,0))</f>
        <v>ALUGUEL CONTAINER/ESCRIT INCL INST ELET LARG=2,20 COMP=6,20M          ALT=2,50M CHAPA ACO C/NERV TRAPEZ FORRO C/ISOL TERMO/ACUSTICO         CHASSIS REFORC PISO COMPENS NAVAL EXC TRANSP/CARGA/DESCARGA</v>
      </c>
      <c r="E18" s="52" t="str">
        <f aca="false">UPPER(VLOOKUP(B18,ANALÍTICA!B:J,6,0))</f>
        <v>MES</v>
      </c>
      <c r="F18" s="53" t="n">
        <v>1</v>
      </c>
      <c r="G18" s="53" t="n">
        <f aca="false">VLOOKUP(B18,ANALÍTICA!B:J,8,0)</f>
        <v>648.43</v>
      </c>
      <c r="H18" s="53" t="n">
        <f aca="false">TRUNC(G18*(1+J$9),2)</f>
        <v>792.51</v>
      </c>
      <c r="I18" s="53" t="n">
        <f aca="false">TRUNC(H18*F18,2)</f>
        <v>792.51</v>
      </c>
      <c r="J18" s="54" t="n">
        <f aca="false">I18/$I$55</f>
        <v>0.00288406982570649</v>
      </c>
      <c r="K18" s="45" t="str">
        <f aca="false">IF(ISBLANK($A18),"",HYPERLINK("#ANALÍTICA!A"&amp;MATCH($A18,ANALÍTICA!A:A,0),"Link"))</f>
        <v>Link</v>
      </c>
    </row>
    <row r="19" customFormat="false" ht="25" hidden="false" customHeight="true" outlineLevel="0" collapsed="false">
      <c r="A19" s="50" t="s">
        <v>37</v>
      </c>
      <c r="B19" s="51" t="s">
        <v>38</v>
      </c>
      <c r="C19" s="50" t="str">
        <f aca="false">UPPER(VLOOKUP(B19,ANALÍTICA!B:J,2,0))</f>
        <v>PRÓPRIO</v>
      </c>
      <c r="D19" s="50" t="str">
        <f aca="false">UPPER(VLOOKUP(B19,ANALÍTICA!B:J,3,0))</f>
        <v>MOBILIZAÇÃO E DESMOBILIZAÇÃO DE CONTAINER</v>
      </c>
      <c r="E19" s="52" t="str">
        <f aca="false">UPPER(VLOOKUP(B19,ANALÍTICA!B:J,6,0))</f>
        <v>UN</v>
      </c>
      <c r="F19" s="53" t="n">
        <v>1</v>
      </c>
      <c r="G19" s="53" t="n">
        <f aca="false">VLOOKUP(B19,ANALÍTICA!B:J,8,0)</f>
        <v>840.4</v>
      </c>
      <c r="H19" s="53" t="n">
        <f aca="false">TRUNC(G19*(1+J$9),2)</f>
        <v>1027.13</v>
      </c>
      <c r="I19" s="53" t="n">
        <f aca="false">TRUNC(H19*F19,2)</f>
        <v>1027.13</v>
      </c>
      <c r="J19" s="54" t="n">
        <f aca="false">I19/$I$55</f>
        <v>0.00373788928856154</v>
      </c>
      <c r="K19" s="45" t="str">
        <f aca="false">IF(ISBLANK($A19),"",HYPERLINK("#ANALÍTICA!A"&amp;MATCH($A19,ANALÍTICA!A:A,0),"Link"))</f>
        <v>Link</v>
      </c>
    </row>
    <row r="20" customFormat="false" ht="25" hidden="false" customHeight="true" outlineLevel="0" collapsed="false">
      <c r="A20" s="46" t="s">
        <v>39</v>
      </c>
      <c r="B20" s="46"/>
      <c r="C20" s="46"/>
      <c r="D20" s="46" t="s">
        <v>40</v>
      </c>
      <c r="E20" s="46"/>
      <c r="F20" s="47"/>
      <c r="G20" s="46"/>
      <c r="H20" s="46"/>
      <c r="I20" s="48" t="n">
        <f aca="false">I21</f>
        <v>465.16</v>
      </c>
      <c r="J20" s="49" t="n">
        <f aca="false">J21</f>
        <v>0.00169279115736789</v>
      </c>
      <c r="K20" s="45" t="str">
        <f aca="false">IF(ISBLANK($A20),"",HYPERLINK("#ANALÍTICA!A"&amp;MATCH($A20,ANALÍTICA!A:A,0),"Link"))</f>
        <v>Link</v>
      </c>
    </row>
    <row r="21" s="29" customFormat="true" ht="25" hidden="false" customHeight="true" outlineLevel="0" collapsed="false">
      <c r="A21" s="50" t="s">
        <v>41</v>
      </c>
      <c r="B21" s="51" t="s">
        <v>42</v>
      </c>
      <c r="C21" s="50" t="str">
        <f aca="false">UPPER(VLOOKUP(B21,ANALÍTICA!B:J,2,0))</f>
        <v>SINAPI</v>
      </c>
      <c r="D21" s="50" t="str">
        <f aca="false">UPPER(VLOOKUP(B21,ANALÍTICA!B:J,3,0))</f>
        <v>FURO EM CONCRETO PARA DIÂMETROS MAIORES QUE 40 MM E MENORES OU IGUAIS A 75 MM. AF_05/2015</v>
      </c>
      <c r="E21" s="52" t="str">
        <f aca="false">UPPER(VLOOKUP(B21,ANALÍTICA!B:J,6,0))</f>
        <v>UN</v>
      </c>
      <c r="F21" s="53" t="n">
        <v>4</v>
      </c>
      <c r="G21" s="53" t="n">
        <f aca="false">VLOOKUP(B21,ANALÍTICA!B:J,8,0)</f>
        <v>95.15</v>
      </c>
      <c r="H21" s="53" t="n">
        <f aca="false">TRUNC(G21*(1+J$9),2)</f>
        <v>116.29</v>
      </c>
      <c r="I21" s="53" t="n">
        <f aca="false">TRUNC(H21*F21,2)</f>
        <v>465.16</v>
      </c>
      <c r="J21" s="54" t="n">
        <f aca="false">I21/$I$55</f>
        <v>0.00169279115736789</v>
      </c>
      <c r="K21" s="45" t="str">
        <f aca="false">IF(ISBLANK($A21),"",HYPERLINK("#ANALÍTICA!A"&amp;MATCH($A21,ANALÍTICA!A:A,0),"Link"))</f>
        <v>Link</v>
      </c>
    </row>
    <row r="22" customFormat="false" ht="25" hidden="false" customHeight="true" outlineLevel="0" collapsed="false">
      <c r="A22" s="40" t="s">
        <v>43</v>
      </c>
      <c r="B22" s="41"/>
      <c r="C22" s="41"/>
      <c r="D22" s="40" t="s">
        <v>44</v>
      </c>
      <c r="E22" s="41"/>
      <c r="F22" s="42"/>
      <c r="G22" s="43"/>
      <c r="H22" s="43"/>
      <c r="I22" s="42" t="n">
        <f aca="false">I23+I25+I29+I35+I38+I41+I43+I45</f>
        <v>260781.45</v>
      </c>
      <c r="J22" s="44" t="n">
        <f aca="false">J23+J25+J29+J35+J38+J41+J43+J45</f>
        <v>0.949025136653146</v>
      </c>
      <c r="K22" s="45" t="str">
        <f aca="false">IF(ISBLANK($A22),"",HYPERLINK("#ANALÍTICA!A"&amp;MATCH($A22,ANALÍTICA!A:A,0),"Link"))</f>
        <v>Link</v>
      </c>
    </row>
    <row r="23" customFormat="false" ht="25" hidden="false" customHeight="true" outlineLevel="0" collapsed="false">
      <c r="A23" s="46" t="s">
        <v>45</v>
      </c>
      <c r="B23" s="46"/>
      <c r="C23" s="46"/>
      <c r="D23" s="46" t="s">
        <v>46</v>
      </c>
      <c r="E23" s="46"/>
      <c r="F23" s="47"/>
      <c r="G23" s="46"/>
      <c r="H23" s="46"/>
      <c r="I23" s="48" t="n">
        <f aca="false">I24</f>
        <v>3908.49</v>
      </c>
      <c r="J23" s="49" t="n">
        <f aca="false">J24</f>
        <v>0.0142236161979982</v>
      </c>
      <c r="K23" s="45" t="str">
        <f aca="false">IF(ISBLANK($A23),"",HYPERLINK("#ANALÍTICA!A"&amp;MATCH($A23,ANALÍTICA!A:A,0),"Link"))</f>
        <v>Link</v>
      </c>
    </row>
    <row r="24" s="29" customFormat="true" ht="25" hidden="false" customHeight="true" outlineLevel="0" collapsed="false">
      <c r="A24" s="50" t="s">
        <v>47</v>
      </c>
      <c r="B24" s="51" t="s">
        <v>48</v>
      </c>
      <c r="C24" s="50" t="str">
        <f aca="false">UPPER(VLOOKUP(B24,ANALÍTICA!B:J,2,0))</f>
        <v>PRÓPRIO</v>
      </c>
      <c r="D24" s="50" t="str">
        <f aca="false">UPPER(VLOOKUP(B24,ANALÍTICA!B:J,3,0))</f>
        <v>APROVAÇÃO DE PROJETO NA CONCESSIONÁRIA</v>
      </c>
      <c r="E24" s="52" t="str">
        <f aca="false">UPPER(VLOOKUP(B24,ANALÍTICA!B:J,6,0))</f>
        <v>UNIDADE</v>
      </c>
      <c r="F24" s="53" t="n">
        <v>1</v>
      </c>
      <c r="G24" s="53" t="n">
        <f aca="false">VLOOKUP(B24,ANALÍTICA!B:J,8,0)</f>
        <v>3197.92</v>
      </c>
      <c r="H24" s="53" t="n">
        <f aca="false">TRUNC(G24*(1+J$9),2)</f>
        <v>3908.49</v>
      </c>
      <c r="I24" s="53" t="n">
        <f aca="false">TRUNC(H24*F24,2)</f>
        <v>3908.49</v>
      </c>
      <c r="J24" s="54" t="n">
        <f aca="false">I24/$I$55</f>
        <v>0.0142236161979982</v>
      </c>
      <c r="K24" s="45" t="str">
        <f aca="false">IF(ISBLANK($A24),"",HYPERLINK("#ANALÍTICA!A"&amp;MATCH($A24,ANALÍTICA!A:A,0),"Link"))</f>
        <v>Link</v>
      </c>
    </row>
    <row r="25" customFormat="false" ht="25" hidden="false" customHeight="true" outlineLevel="0" collapsed="false">
      <c r="A25" s="46" t="s">
        <v>49</v>
      </c>
      <c r="B25" s="46"/>
      <c r="C25" s="46"/>
      <c r="D25" s="46" t="s">
        <v>50</v>
      </c>
      <c r="E25" s="46"/>
      <c r="F25" s="47"/>
      <c r="G25" s="46"/>
      <c r="H25" s="46"/>
      <c r="I25" s="48" t="n">
        <f aca="false">SUM(I26:I28)</f>
        <v>225422.99</v>
      </c>
      <c r="J25" s="49" t="n">
        <f aca="false">SUM(J26:J28)</f>
        <v>0.82035008199207</v>
      </c>
      <c r="K25" s="45" t="str">
        <f aca="false">IF(ISBLANK($A25),"",HYPERLINK("#ANALÍTICA!A"&amp;MATCH($A25,ANALÍTICA!A:A,0),"Link"))</f>
        <v>Link</v>
      </c>
    </row>
    <row r="26" customFormat="false" ht="25" hidden="false" customHeight="true" outlineLevel="0" collapsed="false">
      <c r="A26" s="50" t="s">
        <v>51</v>
      </c>
      <c r="B26" s="51" t="s">
        <v>52</v>
      </c>
      <c r="C26" s="50" t="str">
        <f aca="false">UPPER(VLOOKUP(B26,ANALÍTICA!B:J,2,0))</f>
        <v>PRÓPRIO</v>
      </c>
      <c r="D26" s="50" t="str">
        <f aca="false">UPPER(VLOOKUP(B26,ANALÍTICA!B:J,3,0))</f>
        <v>KIT GERADOR FOTOVOLTAICO (INVERSOR, STRING-BOX, MÓDULOS, CABOS, CONECTORES, ESTRUTURA DE FIXAÇÃO E MONITORAMENTO) PARA MONTAGEM EM TELHADO METÁLICO TRAPEZOIDAL - FORNECIMENTO E INSTALAÇÃO</v>
      </c>
      <c r="E26" s="52" t="str">
        <f aca="false">UPPER(VLOOKUP(B26,ANALÍTICA!B:J,6,0))</f>
        <v>KWP</v>
      </c>
      <c r="F26" s="53" t="n">
        <v>55.62</v>
      </c>
      <c r="G26" s="53" t="n">
        <f aca="false">VLOOKUP(B26,ANALÍTICA!B:J,8,0)</f>
        <v>3272.94</v>
      </c>
      <c r="H26" s="53" t="n">
        <f aca="false">TRUNC(G26*(1+J$9),2)</f>
        <v>4000.18</v>
      </c>
      <c r="I26" s="53" t="n">
        <f aca="false">TRUNC(H26*F26,2)</f>
        <v>222490.01</v>
      </c>
      <c r="J26" s="54" t="n">
        <f aca="false">I26/$I$55</f>
        <v>0.809676501699833</v>
      </c>
      <c r="K26" s="45" t="str">
        <f aca="false">IF(ISBLANK($A26),"",HYPERLINK("#ANALÍTICA!A"&amp;MATCH($A26,ANALÍTICA!A:A,0),"Link"))</f>
        <v>Link</v>
      </c>
    </row>
    <row r="27" customFormat="false" ht="25" hidden="false" customHeight="true" outlineLevel="0" collapsed="false">
      <c r="A27" s="50" t="s">
        <v>53</v>
      </c>
      <c r="B27" s="51" t="s">
        <v>54</v>
      </c>
      <c r="C27" s="50" t="str">
        <f aca="false">UPPER(VLOOKUP(B27,ANALÍTICA!B:J,2,0))</f>
        <v>PRÓPRIO</v>
      </c>
      <c r="D27" s="50" t="str">
        <f aca="false">UPPER(VLOOKUP(B27,ANALÍTICA!B:J,3,0))</f>
        <v>PLACA DE AVISO DE GERAÇÃO PRÓPRIA - FORNECIMENTO E INSTALAÇÃO</v>
      </c>
      <c r="E27" s="52" t="str">
        <f aca="false">UPPER(VLOOKUP(B27,ANALÍTICA!B:J,6,0))</f>
        <v>UNIDADE</v>
      </c>
      <c r="F27" s="53" t="n">
        <v>5</v>
      </c>
      <c r="G27" s="53" t="n">
        <f aca="false">VLOOKUP(B27,ANALÍTICA!B:J,8,0)</f>
        <v>35.69</v>
      </c>
      <c r="H27" s="53" t="n">
        <f aca="false">TRUNC(G27*(1+J$9),2)</f>
        <v>43.62</v>
      </c>
      <c r="I27" s="53" t="n">
        <f aca="false">TRUNC(H27*F27,2)</f>
        <v>218.1</v>
      </c>
      <c r="J27" s="54" t="n">
        <f aca="false">I27/$I$55</f>
        <v>0.000793700557704742</v>
      </c>
      <c r="K27" s="45" t="str">
        <f aca="false">IF(ISBLANK($A27),"",HYPERLINK("#ANALÍTICA!A"&amp;MATCH($A27,ANALÍTICA!A:A,0),"Link"))</f>
        <v>Link</v>
      </c>
    </row>
    <row r="28" customFormat="false" ht="25" hidden="false" customHeight="true" outlineLevel="0" collapsed="false">
      <c r="A28" s="50" t="s">
        <v>55</v>
      </c>
      <c r="B28" s="51" t="s">
        <v>56</v>
      </c>
      <c r="C28" s="50" t="str">
        <f aca="false">UPPER(VLOOKUP(B28,ANALÍTICA!B:J,2,0))</f>
        <v>PRÓPRIO</v>
      </c>
      <c r="D28" s="50" t="str">
        <f aca="false">UPPER(VLOOKUP(B28,ANALÍTICA!B:J,3,0))</f>
        <v>IÇAMENTO DE MÓDULOS FOTOVOLTAICOS PARA A COBERTURA DA EDIFICAÇÃO</v>
      </c>
      <c r="E28" s="52" t="str">
        <f aca="false">UPPER(VLOOKUP(B28,ANALÍTICA!B:J,6,0))</f>
        <v>H</v>
      </c>
      <c r="F28" s="53" t="n">
        <v>8</v>
      </c>
      <c r="G28" s="53" t="n">
        <f aca="false">VLOOKUP(B28,ANALÍTICA!B:J,8,0)</f>
        <v>277.67</v>
      </c>
      <c r="H28" s="53" t="n">
        <f aca="false">TRUNC(G28*(1+J$9),2)</f>
        <v>339.36</v>
      </c>
      <c r="I28" s="53" t="n">
        <f aca="false">TRUNC(H28*F28,2)</f>
        <v>2714.88</v>
      </c>
      <c r="J28" s="54" t="n">
        <f aca="false">I28/$I$55</f>
        <v>0.00987987973453209</v>
      </c>
      <c r="K28" s="45" t="str">
        <f aca="false">IF(ISBLANK($A28),"",HYPERLINK("#ANALÍTICA!A"&amp;MATCH($A28,ANALÍTICA!A:A,0),"Link"))</f>
        <v>Link</v>
      </c>
    </row>
    <row r="29" customFormat="false" ht="25" hidden="false" customHeight="true" outlineLevel="0" collapsed="false">
      <c r="A29" s="46" t="s">
        <v>57</v>
      </c>
      <c r="B29" s="46"/>
      <c r="C29" s="46"/>
      <c r="D29" s="46" t="s">
        <v>58</v>
      </c>
      <c r="E29" s="46"/>
      <c r="F29" s="47"/>
      <c r="G29" s="46"/>
      <c r="H29" s="46"/>
      <c r="I29" s="48" t="n">
        <f aca="false">SUM(I30:I34)</f>
        <v>14187.36</v>
      </c>
      <c r="J29" s="49" t="n">
        <f aca="false">SUM(J30:J34)</f>
        <v>0.0516300575165426</v>
      </c>
      <c r="K29" s="45" t="str">
        <f aca="false">IF(ISBLANK($A29),"",HYPERLINK("#ANALÍTICA!A"&amp;MATCH($A29,ANALÍTICA!A:A,0),"Link"))</f>
        <v>Link</v>
      </c>
    </row>
    <row r="30" customFormat="false" ht="25" hidden="false" customHeight="true" outlineLevel="0" collapsed="false">
      <c r="A30" s="50" t="s">
        <v>59</v>
      </c>
      <c r="B30" s="51" t="s">
        <v>60</v>
      </c>
      <c r="C30" s="50" t="str">
        <f aca="false">UPPER(VLOOKUP(B30,ANALÍTICA!B:J,2,0))</f>
        <v>PRÓPRIO</v>
      </c>
      <c r="D30" s="50" t="str">
        <f aca="false">UPPER(VLOOKUP(B30,ANALÍTICA!B:J,3,0))</f>
        <v>ELETRODUTO EM ACO GALVANIZADO A FOGO (IMERSÃO A QUENTE), PESADO, PAREDE DE 2,25 MM - DIAMETRO NOMINAL 50 (2") - NBR 5624 - INCLUSIVE CONEXOES - FORNECIMENTO E INSTALACAO</v>
      </c>
      <c r="E30" s="52" t="str">
        <f aca="false">UPPER(VLOOKUP(B30,ANALÍTICA!B:J,6,0))</f>
        <v>M</v>
      </c>
      <c r="F30" s="53" t="n">
        <v>88</v>
      </c>
      <c r="G30" s="53" t="n">
        <f aca="false">VLOOKUP(B30,ANALÍTICA!B:J,8,0)</f>
        <v>100.22</v>
      </c>
      <c r="H30" s="53" t="n">
        <f aca="false">TRUNC(G30*(1+J$9),2)</f>
        <v>122.48</v>
      </c>
      <c r="I30" s="53" t="n">
        <f aca="false">TRUNC(H30*F30,2)</f>
        <v>10778.24</v>
      </c>
      <c r="J30" s="54" t="n">
        <f aca="false">I30/$I$55</f>
        <v>0.0392237281021346</v>
      </c>
      <c r="K30" s="45" t="str">
        <f aca="false">IF(ISBLANK($A30),"",HYPERLINK("#ANALÍTICA!A"&amp;MATCH($A30,ANALÍTICA!A:A,0),"Link"))</f>
        <v>Link</v>
      </c>
    </row>
    <row r="31" customFormat="false" ht="25" hidden="false" customHeight="true" outlineLevel="0" collapsed="false">
      <c r="A31" s="50" t="s">
        <v>61</v>
      </c>
      <c r="B31" s="55" t="s">
        <v>62</v>
      </c>
      <c r="C31" s="50" t="str">
        <f aca="false">UPPER(VLOOKUP(B31,ANALÍTICA!B:J,2,0))</f>
        <v>PRÓPRIO</v>
      </c>
      <c r="D31" s="50" t="str">
        <f aca="false">UPPER(VLOOKUP(B31,ANALÍTICA!B:J,3,0))</f>
        <v>CONDULETE DE ALUMÍNIO PARA ELETRODUTO 2" COM TAMPA CEGA - FORNECIMENTO E INSTALAÇÃO</v>
      </c>
      <c r="E31" s="52" t="str">
        <f aca="false">UPPER(VLOOKUP(B31,ANALÍTICA!B:J,6,0))</f>
        <v>UNIDADE</v>
      </c>
      <c r="F31" s="53" t="n">
        <v>4</v>
      </c>
      <c r="G31" s="53" t="n">
        <f aca="false">VLOOKUP(B31,ANALÍTICA!B:J,8,0)</f>
        <v>49.49</v>
      </c>
      <c r="H31" s="53" t="n">
        <f aca="false">TRUNC(G31*(1+J$9),2)</f>
        <v>60.48</v>
      </c>
      <c r="I31" s="53" t="n">
        <f aca="false">TRUNC(H31*F31,2)</f>
        <v>241.92</v>
      </c>
      <c r="J31" s="54" t="n">
        <f aca="false">I31/$I$55</f>
        <v>0.000880385322879097</v>
      </c>
      <c r="K31" s="45" t="str">
        <f aca="false">IF(ISBLANK($A31),"",HYPERLINK("#ANALÍTICA!A"&amp;MATCH($A31,ANALÍTICA!A:A,0),"Link"))</f>
        <v>Link</v>
      </c>
    </row>
    <row r="32" customFormat="false" ht="25" hidden="false" customHeight="true" outlineLevel="0" collapsed="false">
      <c r="A32" s="50" t="s">
        <v>63</v>
      </c>
      <c r="B32" s="51" t="s">
        <v>64</v>
      </c>
      <c r="C32" s="50" t="str">
        <f aca="false">UPPER(VLOOKUP(B32,ANALÍTICA!B:J,2,0))</f>
        <v>PRÓPRIO</v>
      </c>
      <c r="D32" s="50" t="str">
        <f aca="false">UPPER(VLOOKUP(B32,ANALÍTICA!B:J,3,0))</f>
        <v>CAIXA DE PASSAGEM METALICA DE SOBREPOR COM TAMPA PARAFUSADA, DIMENSOES 30 X 30 X 10 CM - FORNECIMENTO E INSTALAÇÃO</v>
      </c>
      <c r="E32" s="52" t="str">
        <f aca="false">UPPER(VLOOKUP(B32,ANALÍTICA!B:J,6,0))</f>
        <v>UNIDADE</v>
      </c>
      <c r="F32" s="53" t="n">
        <v>12</v>
      </c>
      <c r="G32" s="53" t="n">
        <f aca="false">VLOOKUP(B32,ANALÍTICA!B:J,8,0)</f>
        <v>98.12</v>
      </c>
      <c r="H32" s="53" t="n">
        <f aca="false">TRUNC(G32*(1+J$9),2)</f>
        <v>119.92</v>
      </c>
      <c r="I32" s="53" t="n">
        <f aca="false">TRUNC(H32*F32,2)</f>
        <v>1439.04</v>
      </c>
      <c r="J32" s="54" t="n">
        <f aca="false">I32/$I$55</f>
        <v>0.00523689523411018</v>
      </c>
      <c r="K32" s="45" t="str">
        <f aca="false">IF(ISBLANK($A32),"",HYPERLINK("#ANALÍTICA!A"&amp;MATCH($A32,ANALÍTICA!A:A,0),"Link"))</f>
        <v>Link</v>
      </c>
    </row>
    <row r="33" customFormat="false" ht="25" hidden="false" customHeight="true" outlineLevel="0" collapsed="false">
      <c r="A33" s="50" t="s">
        <v>65</v>
      </c>
      <c r="B33" s="51" t="s">
        <v>66</v>
      </c>
      <c r="C33" s="50" t="str">
        <f aca="false">UPPER(VLOOKUP(B33,ANALÍTICA!B:J,2,0))</f>
        <v>PRÓPRIO</v>
      </c>
      <c r="D33" s="50" t="str">
        <f aca="false">UPPER(VLOOKUP(B33,ANALÍTICA!B:J,3,0))</f>
        <v>SUPORTE PARA TUBOS/ DUTOS/ ELETROCALHA HORIZONTAIS (CHUMBADORES, TIRANTES, PERFILADO E ABRAÇADEIRA) - FORNECIMENTO E INSTALAÇÃO</v>
      </c>
      <c r="E33" s="52" t="str">
        <f aca="false">UPPER(VLOOKUP(B33,ANALÍTICA!B:J,6,0))</f>
        <v>UN</v>
      </c>
      <c r="F33" s="53" t="n">
        <v>16</v>
      </c>
      <c r="G33" s="53" t="n">
        <f aca="false">VLOOKUP(B33,ANALÍTICA!B:J,8,0)</f>
        <v>58.66</v>
      </c>
      <c r="H33" s="53" t="n">
        <f aca="false">TRUNC(G33*(1+J$9),2)</f>
        <v>71.69</v>
      </c>
      <c r="I33" s="53" t="n">
        <f aca="false">TRUNC(H33*F33,2)</f>
        <v>1147.04</v>
      </c>
      <c r="J33" s="54" t="n">
        <f aca="false">I33/$I$55</f>
        <v>0.00417426083314831</v>
      </c>
      <c r="K33" s="45" t="str">
        <f aca="false">IF(ISBLANK($A33),"",HYPERLINK("#ANALÍTICA!A"&amp;MATCH($A33,ANALÍTICA!A:A,0),"Link"))</f>
        <v>Link</v>
      </c>
    </row>
    <row r="34" customFormat="false" ht="25" hidden="false" customHeight="true" outlineLevel="0" collapsed="false">
      <c r="A34" s="50" t="s">
        <v>67</v>
      </c>
      <c r="B34" s="51" t="s">
        <v>68</v>
      </c>
      <c r="C34" s="50" t="str">
        <f aca="false">UPPER(VLOOKUP(B34,ANALÍTICA!B:J,2,0))</f>
        <v>PRÓPRIO</v>
      </c>
      <c r="D34" s="50" t="str">
        <f aca="false">UPPER(VLOOKUP(B34,ANALÍTICA!B:J,3,0))</f>
        <v>ELETRODUTO METÁLICO EMBORRACHADO TIPO SEALTUBO COM 1" DE DIÂMETRO FIXADO COM ABRAÇADEIRA METÁLICA - FORNECIMENTO E INSTALAÇÃO</v>
      </c>
      <c r="E34" s="52" t="str">
        <f aca="false">UPPER(VLOOKUP(B34,ANALÍTICA!B:J,6,0))</f>
        <v>METRO</v>
      </c>
      <c r="F34" s="53" t="n">
        <v>16</v>
      </c>
      <c r="G34" s="53" t="n">
        <f aca="false">VLOOKUP(B34,ANALÍTICA!B:J,8,0)</f>
        <v>29.72</v>
      </c>
      <c r="H34" s="53" t="n">
        <f aca="false">TRUNC(G34*(1+J$9),2)</f>
        <v>36.32</v>
      </c>
      <c r="I34" s="53" t="n">
        <f aca="false">TRUNC(H34*F34,2)</f>
        <v>581.12</v>
      </c>
      <c r="J34" s="54" t="n">
        <f aca="false">I34/$I$55</f>
        <v>0.00211478802427042</v>
      </c>
      <c r="K34" s="45" t="e">
        <f aca="false">IF(ISBLANK($A34),"",HYPERLINK("#ANALÍTICA!A"&amp;MATCH($A34,ANALÍTICA!A:A,0),"Link"))</f>
        <v>#N/A</v>
      </c>
    </row>
    <row r="35" customFormat="false" ht="25" hidden="false" customHeight="true" outlineLevel="0" collapsed="false">
      <c r="A35" s="46" t="s">
        <v>69</v>
      </c>
      <c r="B35" s="46"/>
      <c r="C35" s="46"/>
      <c r="D35" s="46" t="s">
        <v>70</v>
      </c>
      <c r="E35" s="46"/>
      <c r="F35" s="47"/>
      <c r="G35" s="46"/>
      <c r="H35" s="46"/>
      <c r="I35" s="48" t="n">
        <f aca="false">SUM(I36:I37)</f>
        <v>2967.17</v>
      </c>
      <c r="J35" s="49" t="n">
        <f aca="false">SUM(J36:J37)</f>
        <v>0.010798003135281</v>
      </c>
      <c r="K35" s="45" t="str">
        <f aca="false">IF(ISBLANK($A35),"",HYPERLINK("#ANALÍTICA!A"&amp;MATCH($A35,ANALÍTICA!A:A,0),"Link"))</f>
        <v>Link</v>
      </c>
    </row>
    <row r="36" customFormat="false" ht="25" hidden="false" customHeight="true" outlineLevel="0" collapsed="false">
      <c r="A36" s="50" t="s">
        <v>71</v>
      </c>
      <c r="B36" s="51" t="s">
        <v>72</v>
      </c>
      <c r="C36" s="50" t="str">
        <f aca="false">UPPER(VLOOKUP(B36,ANALÍTICA!B:J,2,0))</f>
        <v>PRÓPRIO</v>
      </c>
      <c r="D36" s="50" t="str">
        <f aca="false">UPPER(VLOOKUP(B36,ANALÍTICA!B:J,3,0))</f>
        <v>CONJUNTO PARA ATERRAMENTO DE MÓDULO FOTOVOLTAICO - FORNECIMENTO E INSTALAÇÃO</v>
      </c>
      <c r="E36" s="52" t="str">
        <f aca="false">UPPER(VLOOKUP(B36,ANALÍTICA!B:J,6,0))</f>
        <v>UNIDADE</v>
      </c>
      <c r="F36" s="53" t="n">
        <v>103</v>
      </c>
      <c r="G36" s="53" t="n">
        <f aca="false">VLOOKUP(B36,ANALÍTICA!B:J,8,0)</f>
        <v>16.52</v>
      </c>
      <c r="H36" s="53" t="n">
        <f aca="false">TRUNC(G36*(1+J$9),2)</f>
        <v>20.19</v>
      </c>
      <c r="I36" s="53" t="n">
        <f aca="false">TRUNC(H36*F36,2)</f>
        <v>2079.57</v>
      </c>
      <c r="J36" s="54" t="n">
        <f aca="false">I36/$I$55</f>
        <v>0.00756788568906946</v>
      </c>
      <c r="K36" s="45" t="str">
        <f aca="false">IF(ISBLANK($A36),"",HYPERLINK("#ANALÍTICA!A"&amp;MATCH($A36,ANALÍTICA!A:A,0),"Link"))</f>
        <v>Link</v>
      </c>
    </row>
    <row r="37" customFormat="false" ht="25" hidden="false" customHeight="true" outlineLevel="0" collapsed="false">
      <c r="A37" s="50" t="s">
        <v>73</v>
      </c>
      <c r="B37" s="51" t="s">
        <v>74</v>
      </c>
      <c r="C37" s="50" t="str">
        <f aca="false">UPPER(VLOOKUP(B37,ANALÍTICA!B:J,2,0))</f>
        <v>PRÓPRIO</v>
      </c>
      <c r="D37" s="50" t="str">
        <f aca="false">UPPER(VLOOKUP(B37,ANALÍTICA!B:J,3,0))</f>
        <v>CORDOALHA DE COBRE NU 16 MM² - FORNECIMENTO E INSTALAÇÃO</v>
      </c>
      <c r="E37" s="52" t="str">
        <f aca="false">UPPER(VLOOKUP(B37,ANALÍTICA!B:J,6,0))</f>
        <v>METRO</v>
      </c>
      <c r="F37" s="53" t="n">
        <v>35</v>
      </c>
      <c r="G37" s="53" t="n">
        <f aca="false">VLOOKUP(B37,ANALÍTICA!B:J,8,0)</f>
        <v>20.75</v>
      </c>
      <c r="H37" s="53" t="n">
        <f aca="false">TRUNC(G37*(1+J$9),2)</f>
        <v>25.36</v>
      </c>
      <c r="I37" s="53" t="n">
        <f aca="false">TRUNC(H37*F37,2)</f>
        <v>887.6</v>
      </c>
      <c r="J37" s="54" t="n">
        <f aca="false">I37/$I$55</f>
        <v>0.0032301174462115</v>
      </c>
      <c r="K37" s="45" t="str">
        <f aca="false">IF(ISBLANK($A37),"",HYPERLINK("#ANALÍTICA!A"&amp;MATCH($A37,ANALÍTICA!A:A,0),"Link"))</f>
        <v>Link</v>
      </c>
    </row>
    <row r="38" customFormat="false" ht="37.5" hidden="false" customHeight="true" outlineLevel="0" collapsed="false">
      <c r="A38" s="46" t="s">
        <v>75</v>
      </c>
      <c r="B38" s="46"/>
      <c r="C38" s="46"/>
      <c r="D38" s="46" t="s">
        <v>76</v>
      </c>
      <c r="E38" s="46"/>
      <c r="F38" s="47"/>
      <c r="G38" s="46"/>
      <c r="H38" s="46"/>
      <c r="I38" s="48" t="n">
        <f aca="false">SUM(I39:I40)</f>
        <v>5709.11</v>
      </c>
      <c r="J38" s="49" t="n">
        <f aca="false">SUM(J39:J40)</f>
        <v>0.0207763585098474</v>
      </c>
      <c r="K38" s="45" t="str">
        <f aca="false">IF(ISBLANK($A38),"",HYPERLINK("#ANALÍTICA!A"&amp;MATCH($A38,ANALÍTICA!A:A,0),"Link"))</f>
        <v>Link</v>
      </c>
    </row>
    <row r="39" customFormat="false" ht="25" hidden="false" customHeight="true" outlineLevel="0" collapsed="false">
      <c r="A39" s="50" t="s">
        <v>77</v>
      </c>
      <c r="B39" s="55" t="s">
        <v>78</v>
      </c>
      <c r="C39" s="50" t="str">
        <f aca="false">UPPER(VLOOKUP(B39,ANALÍTICA!B:J,2,0))</f>
        <v>PRÓPRIO</v>
      </c>
      <c r="D39" s="50" t="str">
        <f aca="false">UPPER(VLOOKUP(B39,ANALÍTICA!B:J,3,0))</f>
        <v>QUADRO CA PARA 1 INVERSOR (SEM GMG) - FORNECIMENTO E INSTALAÇÃO</v>
      </c>
      <c r="E39" s="52" t="str">
        <f aca="false">UPPER(VLOOKUP(B39,ANALÍTICA!B:J,6,0))</f>
        <v>UN</v>
      </c>
      <c r="F39" s="53" t="n">
        <v>2</v>
      </c>
      <c r="G39" s="53" t="n">
        <f aca="false">VLOOKUP(B39,ANALÍTICA!B:J,8,0)</f>
        <v>2184.03</v>
      </c>
      <c r="H39" s="53" t="n">
        <f aca="false">TRUNC(G39*(1+J$9),2)</f>
        <v>2669.32</v>
      </c>
      <c r="I39" s="53" t="n">
        <f aca="false">TRUNC(H39*F39,2)</f>
        <v>5338.64</v>
      </c>
      <c r="J39" s="54" t="n">
        <f aca="false">I39/$I$55</f>
        <v>0.0194281593094216</v>
      </c>
      <c r="K39" s="45" t="str">
        <f aca="false">IF(ISBLANK($A39),"",HYPERLINK("#ANALÍTICA!A"&amp;MATCH($A39,ANALÍTICA!A:A,0),"Link"))</f>
        <v>Link</v>
      </c>
    </row>
    <row r="40" customFormat="false" ht="25" hidden="false" customHeight="true" outlineLevel="0" collapsed="false">
      <c r="A40" s="50" t="s">
        <v>79</v>
      </c>
      <c r="B40" s="55" t="s">
        <v>80</v>
      </c>
      <c r="C40" s="50" t="str">
        <f aca="false">UPPER(VLOOKUP(B40,ANALÍTICA!B:J,2,0))</f>
        <v>PRÓPRIO</v>
      </c>
      <c r="D40" s="50" t="str">
        <f aca="false">UPPER(VLOOKUP(B40,ANALÍTICA!B:J,3,0))</f>
        <v>CONEXÃO ELÉTRICA COM CABOS UNIPOLARES EM COBRE - 3#10(10)T10 MM² - 0,6/1 KV - FORNECIMENTO E INSTALAÇÃO</v>
      </c>
      <c r="E40" s="52" t="str">
        <f aca="false">UPPER(VLOOKUP(B40,ANALÍTICA!B:J,6,0))</f>
        <v>METRO</v>
      </c>
      <c r="F40" s="53" t="n">
        <v>3</v>
      </c>
      <c r="G40" s="53" t="n">
        <f aca="false">VLOOKUP(B40,ANALÍTICA!B:J,8,0)</f>
        <v>101.04</v>
      </c>
      <c r="H40" s="53" t="n">
        <f aca="false">TRUNC(G40*(1+J$9),2)</f>
        <v>123.49</v>
      </c>
      <c r="I40" s="53" t="n">
        <f aca="false">TRUNC(H40*F40,2)</f>
        <v>370.47</v>
      </c>
      <c r="J40" s="54" t="n">
        <f aca="false">I40/$I$55</f>
        <v>0.00134819920042584</v>
      </c>
      <c r="K40" s="45" t="str">
        <f aca="false">IF(ISBLANK($A40),"",HYPERLINK("#ANALÍTICA!A"&amp;MATCH($A40,ANALÍTICA!A:A,0),"Link"))</f>
        <v>Link</v>
      </c>
    </row>
    <row r="41" customFormat="false" ht="25" hidden="false" customHeight="true" outlineLevel="0" collapsed="false">
      <c r="A41" s="46" t="s">
        <v>81</v>
      </c>
      <c r="B41" s="46"/>
      <c r="C41" s="46"/>
      <c r="D41" s="46" t="s">
        <v>82</v>
      </c>
      <c r="E41" s="46"/>
      <c r="F41" s="47"/>
      <c r="G41" s="46"/>
      <c r="H41" s="46"/>
      <c r="I41" s="48" t="n">
        <f aca="false">I42</f>
        <v>2593.29</v>
      </c>
      <c r="J41" s="49" t="n">
        <f aca="false">J42</f>
        <v>0.00943739440298088</v>
      </c>
      <c r="K41" s="45" t="str">
        <f aca="false">IF(ISBLANK($A41),"",HYPERLINK("#ANALÍTICA!A"&amp;MATCH($A41,ANALÍTICA!A:A,0),"Link"))</f>
        <v>Link</v>
      </c>
    </row>
    <row r="42" customFormat="false" ht="25" hidden="false" customHeight="false" outlineLevel="0" collapsed="false">
      <c r="A42" s="50" t="s">
        <v>83</v>
      </c>
      <c r="B42" s="55" t="s">
        <v>80</v>
      </c>
      <c r="C42" s="50" t="str">
        <f aca="false">UPPER(VLOOKUP(B42,ANALÍTICA!B:J,2,0))</f>
        <v>PRÓPRIO</v>
      </c>
      <c r="D42" s="50" t="str">
        <f aca="false">UPPER(VLOOKUP(B42,ANALÍTICA!B:J,3,0))</f>
        <v>CONEXÃO ELÉTRICA COM CABOS UNIPOLARES EM COBRE - 3#10(10)T10 MM² - 0,6/1 KV - FORNECIMENTO E INSTALAÇÃO</v>
      </c>
      <c r="E42" s="52" t="str">
        <f aca="false">UPPER(VLOOKUP(B42,ANALÍTICA!B:J,6,0))</f>
        <v>METRO</v>
      </c>
      <c r="F42" s="53" t="n">
        <v>21</v>
      </c>
      <c r="G42" s="53" t="n">
        <f aca="false">VLOOKUP(B42,ANALÍTICA!B:J,8,0)</f>
        <v>101.04</v>
      </c>
      <c r="H42" s="53" t="n">
        <f aca="false">TRUNC(G42*(1+J$9),2)</f>
        <v>123.49</v>
      </c>
      <c r="I42" s="53" t="n">
        <f aca="false">TRUNC(H42*F42,2)</f>
        <v>2593.29</v>
      </c>
      <c r="J42" s="54" t="n">
        <f aca="false">I42/$I$55</f>
        <v>0.00943739440298088</v>
      </c>
      <c r="K42" s="45" t="str">
        <f aca="false">IF(ISBLANK($A42),"",HYPERLINK("#ANALÍTICA!A"&amp;MATCH($A42,ANALÍTICA!A:A,0),"Link"))</f>
        <v>Link</v>
      </c>
    </row>
    <row r="43" s="29" customFormat="true" ht="30" hidden="false" customHeight="true" outlineLevel="0" collapsed="false">
      <c r="A43" s="46" t="s">
        <v>84</v>
      </c>
      <c r="B43" s="46"/>
      <c r="C43" s="46"/>
      <c r="D43" s="46" t="s">
        <v>85</v>
      </c>
      <c r="E43" s="46"/>
      <c r="F43" s="47"/>
      <c r="G43" s="46"/>
      <c r="H43" s="46"/>
      <c r="I43" s="48" t="n">
        <f aca="false">I44</f>
        <v>4236.01</v>
      </c>
      <c r="J43" s="49" t="n">
        <f aca="false">J44</f>
        <v>0.015415513523351</v>
      </c>
      <c r="K43" s="45" t="e">
        <f aca="false">IF(ISBLANK($A43),"",HYPERLINK("#ANALÍTICA!A"&amp;MATCH($A43,ANALÍTICA!A:A,0),"Link"))</f>
        <v>#N/A</v>
      </c>
      <c r="M43" s="56"/>
    </row>
    <row r="44" customFormat="false" ht="25" hidden="false" customHeight="false" outlineLevel="0" collapsed="false">
      <c r="A44" s="50" t="s">
        <v>86</v>
      </c>
      <c r="B44" s="51" t="s">
        <v>87</v>
      </c>
      <c r="C44" s="50" t="str">
        <f aca="false">UPPER(VLOOKUP(B44,ANALÍTICA!B:J,2,0))</f>
        <v>PRÓPRIO</v>
      </c>
      <c r="D44" s="50" t="str">
        <f aca="false">UPPER(VLOOKUP(B44,ANALÍTICA!B:J,3,0))</f>
        <v>COMISSIONAMENTO DE SFCR</v>
      </c>
      <c r="E44" s="52" t="str">
        <f aca="false">UPPER(VLOOKUP(B44,ANALÍTICA!B:J,6,0))</f>
        <v>KWP</v>
      </c>
      <c r="F44" s="53" t="n">
        <v>55.62</v>
      </c>
      <c r="G44" s="53" t="n">
        <f aca="false">VLOOKUP(B44,ANALÍTICA!B:J,8,0)</f>
        <v>62.32</v>
      </c>
      <c r="H44" s="53" t="n">
        <f aca="false">TRUNC(G44*(1+J$9),2)</f>
        <v>76.16</v>
      </c>
      <c r="I44" s="53" t="n">
        <f aca="false">TRUNC(H44*F44,2)</f>
        <v>4236.01</v>
      </c>
      <c r="J44" s="54" t="n">
        <f aca="false">I44/$I$55</f>
        <v>0.015415513523351</v>
      </c>
      <c r="K44" s="45" t="str">
        <f aca="false">IF(ISBLANK($A44),"",HYPERLINK("#ANALÍTICA!A"&amp;MATCH($A44,ANALÍTICA!A:A,0),"Link"))</f>
        <v>Link</v>
      </c>
      <c r="M44" s="21" t="s">
        <v>88</v>
      </c>
    </row>
    <row r="45" customFormat="false" ht="14" hidden="false" customHeight="false" outlineLevel="0" collapsed="false">
      <c r="A45" s="46" t="s">
        <v>89</v>
      </c>
      <c r="B45" s="46"/>
      <c r="C45" s="46"/>
      <c r="D45" s="46" t="s">
        <v>90</v>
      </c>
      <c r="E45" s="46"/>
      <c r="F45" s="47"/>
      <c r="G45" s="46"/>
      <c r="H45" s="46"/>
      <c r="I45" s="48" t="n">
        <f aca="false">I46</f>
        <v>1757.03</v>
      </c>
      <c r="J45" s="49" t="n">
        <f aca="false">J46</f>
        <v>0.00639411137507548</v>
      </c>
      <c r="K45" s="45" t="str">
        <f aca="false">IF(ISBLANK($A45),"",HYPERLINK("#ANALÍTICA!A"&amp;MATCH($A45,ANALÍTICA!A:A,0),"Link"))</f>
        <v>Link</v>
      </c>
    </row>
    <row r="46" customFormat="false" ht="25" hidden="false" customHeight="false" outlineLevel="0" collapsed="false">
      <c r="A46" s="50" t="s">
        <v>91</v>
      </c>
      <c r="B46" s="51" t="s">
        <v>92</v>
      </c>
      <c r="C46" s="50" t="str">
        <f aca="false">UPPER(VLOOKUP(B46,ANALÍTICA!B:J,2,0))</f>
        <v>PRÓPRIO</v>
      </c>
      <c r="D46" s="50" t="str">
        <f aca="false">UPPER(VLOOKUP(B46,ANALÍTICA!B:J,3,0))</f>
        <v>AS BUILT</v>
      </c>
      <c r="E46" s="52" t="str">
        <f aca="false">UPPER(VLOOKUP(B46,ANALÍTICA!B:J,6,0))</f>
        <v>UNIDADE</v>
      </c>
      <c r="F46" s="53" t="n">
        <v>1</v>
      </c>
      <c r="G46" s="53" t="n">
        <f aca="false">VLOOKUP(B46,ANALÍTICA!B:J,8,0)</f>
        <v>1437.6</v>
      </c>
      <c r="H46" s="53" t="n">
        <f aca="false">TRUNC(G46*(1+J$9),2)</f>
        <v>1757.03</v>
      </c>
      <c r="I46" s="53" t="n">
        <f aca="false">TRUNC(H46*F46,2)</f>
        <v>1757.03</v>
      </c>
      <c r="J46" s="54" t="n">
        <f aca="false">I46/$I$55</f>
        <v>0.00639411137507548</v>
      </c>
      <c r="K46" s="45" t="str">
        <f aca="false">IF(ISBLANK($A46),"",HYPERLINK("#ANALÍTICA!A"&amp;MATCH($A46,ANALÍTICA!A:A,0),"Link"))</f>
        <v>Link</v>
      </c>
    </row>
    <row r="47" s="29" customFormat="true" ht="30" hidden="false" customHeight="true" outlineLevel="0" collapsed="false">
      <c r="A47" s="40" t="s">
        <v>93</v>
      </c>
      <c r="B47" s="41"/>
      <c r="C47" s="41"/>
      <c r="D47" s="40" t="s">
        <v>94</v>
      </c>
      <c r="E47" s="41"/>
      <c r="F47" s="42"/>
      <c r="G47" s="43"/>
      <c r="H47" s="43"/>
      <c r="I47" s="42" t="n">
        <f aca="false">I48</f>
        <v>10880</v>
      </c>
      <c r="J47" s="44" t="n">
        <f aca="false">J48</f>
        <v>0.039594048912552</v>
      </c>
      <c r="K47" s="45" t="str">
        <f aca="false">IF(ISBLANK($A47),"",HYPERLINK("#ANALÍTICA!A"&amp;MATCH($A47,ANALÍTICA!A:A,0),"Link"))</f>
        <v>Link</v>
      </c>
    </row>
    <row r="48" customFormat="false" ht="20.15" hidden="false" customHeight="true" outlineLevel="0" collapsed="false">
      <c r="A48" s="46" t="s">
        <v>95</v>
      </c>
      <c r="B48" s="46"/>
      <c r="C48" s="46"/>
      <c r="D48" s="46" t="s">
        <v>96</v>
      </c>
      <c r="E48" s="46"/>
      <c r="F48" s="47"/>
      <c r="G48" s="46"/>
      <c r="H48" s="46"/>
      <c r="I48" s="48" t="n">
        <f aca="false">I49</f>
        <v>10880</v>
      </c>
      <c r="J48" s="49" t="n">
        <f aca="false">J49</f>
        <v>0.039594048912552</v>
      </c>
      <c r="K48" s="45" t="str">
        <f aca="false">IF(ISBLANK($A48),"",HYPERLINK("#ANALÍTICA!A"&amp;MATCH($A48,ANALÍTICA!A:A,0),"Link"))</f>
        <v>Link</v>
      </c>
    </row>
    <row r="49" customFormat="false" ht="30" hidden="false" customHeight="true" outlineLevel="0" collapsed="false">
      <c r="A49" s="50" t="s">
        <v>97</v>
      </c>
      <c r="B49" s="55" t="s">
        <v>98</v>
      </c>
      <c r="C49" s="50" t="str">
        <f aca="false">UPPER(VLOOKUP(B49,ANALÍTICA!B:J,2,0))</f>
        <v>SINAPI</v>
      </c>
      <c r="D49" s="50" t="str">
        <f aca="false">UPPER(VLOOKUP(B49,ANALÍTICA!B:J,3,0))</f>
        <v>ENGENHEIRO ELETRICISTA COM ENCARGOS COMPLEMENTARES</v>
      </c>
      <c r="E49" s="52" t="str">
        <f aca="false">UPPER(VLOOKUP(B49,ANALÍTICA!B:J,6,0))</f>
        <v>H</v>
      </c>
      <c r="F49" s="53" t="n">
        <v>80</v>
      </c>
      <c r="G49" s="53" t="n">
        <f aca="false">VLOOKUP(B49,ANALÍTICA!B:J,8,0)</f>
        <v>111.28</v>
      </c>
      <c r="H49" s="53" t="n">
        <f aca="false">TRUNC(G49*(1+J$9),2)</f>
        <v>136</v>
      </c>
      <c r="I49" s="53" t="n">
        <f aca="false">TRUNC(H49*F49,2)</f>
        <v>10880</v>
      </c>
      <c r="J49" s="54" t="n">
        <f aca="false">I49/$I$55</f>
        <v>0.039594048912552</v>
      </c>
      <c r="K49" s="45" t="str">
        <f aca="false">IF(ISBLANK($A49),"",HYPERLINK("#ANALÍTICA!A"&amp;MATCH($A49,ANALÍTICA!A:A,0),"Link"))</f>
        <v>Link</v>
      </c>
    </row>
    <row r="50" customFormat="false" ht="20.15" hidden="false" customHeight="true" outlineLevel="0" collapsed="false">
      <c r="A50" s="57"/>
      <c r="B50" s="57"/>
      <c r="C50" s="57"/>
      <c r="D50" s="57"/>
      <c r="E50" s="57"/>
      <c r="F50" s="57"/>
      <c r="G50" s="57"/>
      <c r="H50" s="57"/>
      <c r="I50" s="57"/>
      <c r="J50" s="57"/>
    </row>
    <row r="51" customFormat="false" ht="30" hidden="false" customHeight="true" outlineLevel="0" collapsed="false">
      <c r="A51" s="58" t="s">
        <v>99</v>
      </c>
      <c r="B51" s="58"/>
      <c r="C51" s="58"/>
      <c r="D51" s="58"/>
      <c r="E51" s="58"/>
      <c r="F51" s="58"/>
      <c r="G51" s="58"/>
      <c r="H51" s="58"/>
      <c r="I51" s="59" t="n">
        <v>274788.77</v>
      </c>
      <c r="J51" s="59"/>
    </row>
    <row r="52" customFormat="false" ht="20.15" hidden="false" customHeight="true" outlineLevel="0" collapsed="false">
      <c r="A52" s="57"/>
      <c r="B52" s="57"/>
      <c r="C52" s="57"/>
      <c r="D52" s="57"/>
      <c r="E52" s="57"/>
      <c r="F52" s="57"/>
      <c r="G52" s="57"/>
      <c r="H52" s="57"/>
      <c r="I52" s="57"/>
      <c r="J52" s="57"/>
    </row>
    <row r="53" customFormat="false" ht="30" hidden="false" customHeight="true" outlineLevel="0" collapsed="false">
      <c r="A53" s="60" t="s">
        <v>100</v>
      </c>
      <c r="B53" s="60"/>
      <c r="C53" s="60"/>
      <c r="D53" s="60"/>
      <c r="E53" s="60"/>
      <c r="F53" s="60"/>
      <c r="G53" s="60"/>
      <c r="H53" s="60"/>
      <c r="I53" s="61" t="n">
        <v>0</v>
      </c>
      <c r="J53" s="61"/>
    </row>
    <row r="54" customFormat="false" ht="20.15" hidden="false" customHeight="true" outlineLevel="0" collapsed="false">
      <c r="A54" s="57"/>
      <c r="B54" s="57"/>
      <c r="C54" s="57"/>
      <c r="D54" s="57"/>
      <c r="E54" s="57"/>
      <c r="F54" s="57"/>
      <c r="G54" s="57"/>
      <c r="H54" s="57"/>
      <c r="I54" s="57"/>
      <c r="J54" s="57"/>
    </row>
    <row r="55" customFormat="false" ht="30" hidden="false" customHeight="true" outlineLevel="0" collapsed="false">
      <c r="A55" s="62" t="s">
        <v>101</v>
      </c>
      <c r="B55" s="62"/>
      <c r="C55" s="62"/>
      <c r="D55" s="62"/>
      <c r="E55" s="62"/>
      <c r="F55" s="62"/>
      <c r="G55" s="62"/>
      <c r="H55" s="62"/>
      <c r="I55" s="63" t="n">
        <f aca="false">SUM(A53:J54,I47,I22,I14)</f>
        <v>274788.77</v>
      </c>
      <c r="J55" s="63"/>
    </row>
    <row r="56" s="29" customFormat="true" ht="20.15" hidden="false" customHeight="true" outlineLevel="0" collapsed="false">
      <c r="A56" s="64"/>
      <c r="B56" s="64"/>
      <c r="C56" s="64"/>
      <c r="D56" s="64"/>
      <c r="E56" s="64"/>
      <c r="F56" s="64"/>
      <c r="G56" s="64"/>
      <c r="H56" s="64"/>
      <c r="I56" s="64"/>
      <c r="J56" s="64"/>
    </row>
    <row r="57" customFormat="false" ht="15.75" hidden="false" customHeight="true" outlineLevel="0" collapsed="false">
      <c r="A57" s="62" t="s">
        <v>102</v>
      </c>
      <c r="B57" s="62"/>
      <c r="C57" s="62"/>
      <c r="D57" s="62"/>
      <c r="E57" s="62"/>
      <c r="F57" s="62"/>
      <c r="G57" s="62"/>
      <c r="H57" s="62"/>
      <c r="I57" s="65" t="n">
        <f aca="false">(I51-I55)/I51</f>
        <v>-2.11826927692378E-016</v>
      </c>
      <c r="J57" s="65"/>
    </row>
    <row r="58" customFormat="false" ht="14.25" hidden="false" customHeight="true" outlineLevel="0" collapsed="false">
      <c r="A58" s="66" t="s">
        <v>103</v>
      </c>
      <c r="B58" s="66"/>
      <c r="C58" s="66"/>
      <c r="D58" s="66"/>
      <c r="E58" s="66"/>
      <c r="F58" s="66"/>
      <c r="G58" s="66"/>
      <c r="H58" s="66"/>
      <c r="I58" s="66"/>
      <c r="J58" s="66"/>
    </row>
  </sheetData>
  <sheetProtection sheet="true" objects="true" scenarios="true"/>
  <mergeCells count="23">
    <mergeCell ref="A1:J1"/>
    <mergeCell ref="A2:J2"/>
    <mergeCell ref="A3:J3"/>
    <mergeCell ref="A4:J4"/>
    <mergeCell ref="A5:J5"/>
    <mergeCell ref="A6:J6"/>
    <mergeCell ref="A7:J7"/>
    <mergeCell ref="E8:I8"/>
    <mergeCell ref="E9:I9"/>
    <mergeCell ref="E10:I10"/>
    <mergeCell ref="A50:J50"/>
    <mergeCell ref="A51:H51"/>
    <mergeCell ref="I51:J51"/>
    <mergeCell ref="A52:J52"/>
    <mergeCell ref="A53:H53"/>
    <mergeCell ref="I53:J53"/>
    <mergeCell ref="A54:J54"/>
    <mergeCell ref="A55:H55"/>
    <mergeCell ref="I55:J55"/>
    <mergeCell ref="A56:J56"/>
    <mergeCell ref="A57:H57"/>
    <mergeCell ref="I57:J57"/>
    <mergeCell ref="A58:J5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&amp;L </oddHeader>
    <oddFooter>&amp;L &amp;R&amp;P de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D240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7" activeCellId="0" sqref="D7"/>
    </sheetView>
  </sheetViews>
  <sheetFormatPr defaultRowHeight="14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12"/>
    <col collapsed="false" customWidth="true" hidden="false" outlineLevel="0" max="3" min="3" style="0" width="10"/>
    <col collapsed="false" customWidth="true" hidden="false" outlineLevel="0" max="4" min="4" style="0" width="52.5"/>
    <col collapsed="false" customWidth="true" hidden="false" outlineLevel="0" max="5" min="5" style="0" width="12.08"/>
    <col collapsed="false" customWidth="true" hidden="false" outlineLevel="0" max="6" min="6" style="0" width="9.58"/>
    <col collapsed="false" customWidth="true" hidden="false" outlineLevel="0" max="7" min="7" style="0" width="10"/>
    <col collapsed="false" customWidth="true" hidden="false" outlineLevel="0" max="8" min="8" style="0" width="9.58"/>
    <col collapsed="false" customWidth="true" hidden="false" outlineLevel="0" max="9" min="9" style="0" width="11.25"/>
    <col collapsed="false" customWidth="true" hidden="false" outlineLevel="0" max="10" min="10" style="0" width="12.25"/>
    <col collapsed="false" customWidth="true" hidden="true" outlineLevel="0" max="11" min="11" style="67" width="10.5"/>
    <col collapsed="false" customWidth="true" hidden="true" outlineLevel="0" max="12" min="12" style="68" width="10.58"/>
    <col collapsed="false" customWidth="true" hidden="true" outlineLevel="0" max="18" min="13" style="69" width="10.58"/>
    <col collapsed="false" customWidth="true" hidden="true" outlineLevel="0" max="29" min="19" style="69" width="10.5"/>
    <col collapsed="false" customWidth="true" hidden="true" outlineLevel="0" max="33" min="30" style="0" width="10.5"/>
    <col collapsed="false" customWidth="true" hidden="false" outlineLevel="0" max="1025" min="34" style="0" width="9"/>
  </cols>
  <sheetData>
    <row r="1" customFormat="false" ht="15" hidden="false" customHeight="true" outlineLevel="0" collapsed="false">
      <c r="A1" s="23"/>
      <c r="B1" s="23"/>
      <c r="C1" s="23"/>
      <c r="D1" s="23"/>
      <c r="E1" s="23"/>
      <c r="F1" s="23"/>
      <c r="G1" s="23"/>
      <c r="H1" s="23"/>
      <c r="I1" s="23"/>
      <c r="J1" s="23"/>
      <c r="P1" s="70"/>
      <c r="Q1" s="70"/>
      <c r="W1" s="70"/>
      <c r="X1" s="70"/>
    </row>
    <row r="2" customFormat="false" ht="15" hidden="false" customHeight="true" outlineLevel="0" collapsed="false">
      <c r="A2" s="24" t="str">
        <f aca="false">INSTRUÇÕES!A2</f>
        <v>PROCURADORIA GERAL DA REPÚBLICA</v>
      </c>
      <c r="B2" s="24"/>
      <c r="C2" s="24"/>
      <c r="D2" s="24"/>
      <c r="E2" s="24"/>
      <c r="F2" s="24"/>
      <c r="G2" s="24"/>
      <c r="H2" s="24"/>
      <c r="I2" s="24"/>
      <c r="J2" s="24"/>
    </row>
    <row r="3" customFormat="false" ht="15" hidden="false" customHeight="true" outlineLevel="0" collapsed="false">
      <c r="A3" s="24" t="str">
        <f aca="false">INSTRUÇÕES!A3</f>
        <v>SECRETARIA DE ENGENHARIA E ARQUITETURA</v>
      </c>
      <c r="B3" s="24"/>
      <c r="C3" s="24"/>
      <c r="D3" s="24"/>
      <c r="E3" s="24"/>
      <c r="F3" s="24"/>
      <c r="G3" s="24"/>
      <c r="H3" s="24"/>
      <c r="I3" s="24"/>
      <c r="J3" s="24"/>
      <c r="P3" s="70"/>
      <c r="Q3" s="70"/>
      <c r="W3" s="70"/>
      <c r="X3" s="70"/>
    </row>
    <row r="4" customFormat="false" ht="15" hidden="false" customHeight="true" outlineLevel="0" collapsed="false">
      <c r="A4" s="24"/>
      <c r="B4" s="24"/>
      <c r="C4" s="24"/>
      <c r="D4" s="24"/>
      <c r="E4" s="24"/>
      <c r="F4" s="24"/>
      <c r="G4" s="24"/>
      <c r="H4" s="24"/>
      <c r="I4" s="24"/>
      <c r="J4" s="24"/>
    </row>
    <row r="5" customFormat="false" ht="15" hidden="false" customHeight="true" outlineLevel="0" collapsed="false">
      <c r="A5" s="71" t="str">
        <f aca="false">INSTRUÇÕES!A6</f>
        <v>OBRA: SFCR DA PROCURADORIA DA REPÚBLICA EM GOIÁS (PR-GO)</v>
      </c>
      <c r="B5" s="71"/>
      <c r="C5" s="71"/>
      <c r="D5" s="71"/>
      <c r="E5" s="71"/>
      <c r="F5" s="71"/>
      <c r="G5" s="71"/>
      <c r="H5" s="71"/>
      <c r="I5" s="71"/>
      <c r="J5" s="71"/>
      <c r="P5" s="70"/>
      <c r="Q5" s="70"/>
      <c r="W5" s="70"/>
      <c r="X5" s="70"/>
    </row>
    <row r="6" customFormat="false" ht="25" hidden="false" customHeight="true" outlineLevel="0" collapsed="false">
      <c r="A6" s="72" t="s">
        <v>104</v>
      </c>
      <c r="B6" s="72"/>
      <c r="C6" s="72"/>
      <c r="D6" s="72"/>
      <c r="E6" s="72"/>
      <c r="F6" s="72"/>
      <c r="G6" s="72"/>
      <c r="H6" s="72"/>
      <c r="I6" s="72"/>
      <c r="J6" s="72"/>
    </row>
    <row r="7" customFormat="false" ht="15" hidden="false" customHeight="true" outlineLevel="0" collapsed="false">
      <c r="A7" s="67"/>
      <c r="B7" s="67"/>
      <c r="C7" s="67"/>
      <c r="D7" s="67"/>
      <c r="E7" s="67"/>
      <c r="F7" s="67"/>
      <c r="G7" s="67"/>
      <c r="H7" s="67"/>
      <c r="I7" s="67"/>
      <c r="J7" s="67"/>
    </row>
    <row r="8" customFormat="false" ht="15" hidden="false" customHeight="true" outlineLevel="0" collapsed="false">
      <c r="A8" s="67"/>
      <c r="B8" s="67"/>
      <c r="C8" s="67"/>
      <c r="D8" s="67"/>
      <c r="E8" s="73" t="str">
        <f aca="false">SINTÉTICA!$E$8</f>
        <v>LEIS SOCIAIS DESONERADAS - REFERÊNCIA HORISTA SINAPI: LS</v>
      </c>
      <c r="F8" s="73"/>
      <c r="G8" s="73"/>
      <c r="H8" s="73"/>
      <c r="I8" s="73"/>
      <c r="J8" s="74" t="n">
        <f aca="false">SINTÉTICA!$J$8</f>
        <v>1.1542</v>
      </c>
    </row>
    <row r="9" customFormat="false" ht="15" hidden="false" customHeight="true" outlineLevel="0" collapsed="false">
      <c r="A9" s="67"/>
      <c r="B9" s="67"/>
      <c r="C9" s="67"/>
      <c r="D9" s="67"/>
      <c r="E9" s="73" t="str">
        <f aca="false">SINTÉTICA!$E$9</f>
        <v>BENEFÍCIOS E DESPESAS INDIRETAS: BDI</v>
      </c>
      <c r="F9" s="73"/>
      <c r="G9" s="73"/>
      <c r="H9" s="73"/>
      <c r="I9" s="73"/>
      <c r="J9" s="75" t="n">
        <f aca="false">BDI!D23</f>
        <v>0.2222</v>
      </c>
    </row>
    <row r="10" customFormat="false" ht="15" hidden="false" customHeight="true" outlineLevel="0" collapsed="false">
      <c r="A10" s="67"/>
      <c r="B10" s="67"/>
      <c r="C10" s="67"/>
      <c r="D10" s="67"/>
      <c r="E10" s="73" t="str">
        <f aca="false">SINTÉTICA!$E$10</f>
        <v>REFERÊNCIA: SINAPI - GO - MAIO/22 (NÃO-DESONERADA)</v>
      </c>
      <c r="F10" s="73"/>
      <c r="G10" s="73"/>
      <c r="H10" s="73"/>
      <c r="I10" s="73"/>
      <c r="J10" s="76"/>
      <c r="L10" s="77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9"/>
    </row>
    <row r="11" customFormat="false" ht="15" hidden="false" customHeight="true" outlineLevel="0" collapsed="false">
      <c r="A11" s="80"/>
      <c r="B11" s="80"/>
      <c r="C11" s="80"/>
      <c r="D11" s="80"/>
      <c r="E11" s="80"/>
      <c r="F11" s="80"/>
      <c r="G11" s="80"/>
      <c r="H11" s="80"/>
      <c r="I11" s="80"/>
      <c r="J11" s="80"/>
      <c r="L11" s="77"/>
      <c r="M11" s="77"/>
      <c r="N11" s="77"/>
      <c r="O11" s="77"/>
      <c r="P11" s="77"/>
      <c r="Q11" s="77"/>
      <c r="R11" s="77"/>
      <c r="S11" s="77"/>
      <c r="T11" s="77" t="n">
        <v>20</v>
      </c>
      <c r="U11" s="77" t="n">
        <v>21</v>
      </c>
      <c r="V11" s="77" t="n">
        <v>22</v>
      </c>
      <c r="W11" s="77" t="n">
        <v>23</v>
      </c>
      <c r="X11" s="77" t="n">
        <v>24</v>
      </c>
      <c r="Y11" s="77" t="n">
        <v>25</v>
      </c>
      <c r="Z11" s="77" t="n">
        <v>26</v>
      </c>
      <c r="AA11" s="77" t="n">
        <v>27</v>
      </c>
      <c r="AB11" s="77" t="n">
        <v>28</v>
      </c>
      <c r="AC11" s="77" t="n">
        <v>29</v>
      </c>
      <c r="AD11" s="79"/>
    </row>
    <row r="12" customFormat="false" ht="30" hidden="false" customHeight="true" outlineLevel="0" collapsed="false">
      <c r="A12" s="81" t="s">
        <v>17</v>
      </c>
      <c r="B12" s="81" t="s">
        <v>18</v>
      </c>
      <c r="C12" s="81" t="s">
        <v>19</v>
      </c>
      <c r="D12" s="81" t="s">
        <v>20</v>
      </c>
      <c r="E12" s="81" t="s">
        <v>105</v>
      </c>
      <c r="F12" s="81"/>
      <c r="G12" s="81" t="s">
        <v>21</v>
      </c>
      <c r="H12" s="81" t="s">
        <v>22</v>
      </c>
      <c r="I12" s="81" t="s">
        <v>106</v>
      </c>
      <c r="J12" s="81" t="s">
        <v>107</v>
      </c>
      <c r="L12" s="82" t="s">
        <v>108</v>
      </c>
      <c r="M12" s="83" t="s">
        <v>109</v>
      </c>
      <c r="N12" s="83" t="s">
        <v>110</v>
      </c>
      <c r="O12" s="83" t="s">
        <v>111</v>
      </c>
      <c r="P12" s="84" t="s">
        <v>112</v>
      </c>
      <c r="Q12" s="83" t="s">
        <v>113</v>
      </c>
      <c r="R12" s="85" t="s">
        <v>114</v>
      </c>
      <c r="S12" s="78"/>
      <c r="T12" s="86"/>
      <c r="U12" s="87" t="s">
        <v>115</v>
      </c>
      <c r="V12" s="87" t="s">
        <v>116</v>
      </c>
      <c r="W12" s="87" t="s">
        <v>117</v>
      </c>
      <c r="X12" s="87" t="s">
        <v>118</v>
      </c>
      <c r="Y12" s="87"/>
      <c r="Z12" s="87" t="s">
        <v>119</v>
      </c>
      <c r="AA12" s="87" t="s">
        <v>120</v>
      </c>
      <c r="AB12" s="87"/>
      <c r="AC12" s="88"/>
      <c r="AD12" s="79"/>
    </row>
    <row r="13" customFormat="false" ht="14" hidden="false" customHeight="false" outlineLevel="0" collapsed="false">
      <c r="A13" s="89"/>
      <c r="B13" s="89"/>
      <c r="C13" s="89"/>
      <c r="D13" s="89"/>
      <c r="E13" s="89"/>
      <c r="F13" s="89"/>
      <c r="G13" s="89"/>
      <c r="H13" s="89"/>
      <c r="I13" s="89"/>
      <c r="J13" s="89"/>
      <c r="L13" s="77" t="n">
        <v>1</v>
      </c>
      <c r="M13" s="78"/>
      <c r="N13" s="78"/>
      <c r="O13" s="78"/>
      <c r="P13" s="78"/>
      <c r="Q13" s="78"/>
      <c r="R13" s="78"/>
      <c r="S13" s="78"/>
      <c r="T13" s="90" t="s">
        <v>121</v>
      </c>
      <c r="U13" s="91" t="n">
        <v>88239</v>
      </c>
      <c r="V13" s="92" t="s">
        <v>122</v>
      </c>
      <c r="W13" s="92" t="s">
        <v>123</v>
      </c>
      <c r="X13" s="92" t="s">
        <v>124</v>
      </c>
      <c r="Y13" s="92"/>
      <c r="Z13" s="93" t="s">
        <v>125</v>
      </c>
      <c r="AA13" s="94" t="n">
        <v>1</v>
      </c>
      <c r="AB13" s="95" t="n">
        <f aca="false">SUMIF(AE:AE,$L13,AF:AF)</f>
        <v>0</v>
      </c>
      <c r="AC13" s="96" t="n">
        <f aca="false">TRUNC(AA13*AB13,2)</f>
        <v>0</v>
      </c>
      <c r="AD13" s="79"/>
    </row>
    <row r="14" customFormat="false" ht="14" hidden="false" customHeight="false" outlineLevel="0" collapsed="false">
      <c r="A14" s="97" t="s">
        <v>27</v>
      </c>
      <c r="B14" s="97"/>
      <c r="C14" s="97"/>
      <c r="D14" s="97" t="s">
        <v>28</v>
      </c>
      <c r="E14" s="97"/>
      <c r="F14" s="97"/>
      <c r="G14" s="97"/>
      <c r="H14" s="98"/>
      <c r="I14" s="97"/>
      <c r="J14" s="99"/>
      <c r="K14" s="100"/>
      <c r="L14" s="77" t="n">
        <f aca="false">IF(AND(A15&lt;&gt;"",A14=""),L13+1,L13)</f>
        <v>1</v>
      </c>
      <c r="M14" s="101" t="str">
        <f aca="false">IF(OR(A14="Insumo",A14="Composição Auxiliar"),J14,"")</f>
        <v/>
      </c>
      <c r="N14" s="102" t="str">
        <f aca="false">IF(ISNUMBER(SEARCH("COM ENCARGOS COMPLEMENTARES",D14)),J14,"")</f>
        <v/>
      </c>
      <c r="O14" s="102" t="str">
        <f aca="false">IF(N14&lt;&gt;"","",M14)</f>
        <v/>
      </c>
      <c r="P14" s="103" t="str">
        <f aca="false">IF(A14="Composição",A13,"")</f>
        <v/>
      </c>
      <c r="Q14" s="102" t="str">
        <f aca="false">IF(P14&lt;&gt;"",SUMIF(L14:L114,L14,N14:N114),"")</f>
        <v/>
      </c>
      <c r="R14" s="102" t="str">
        <f aca="false">IF(P14&lt;&gt;"",SUMIF(L14:L114,L14,O14:O114),"")</f>
        <v/>
      </c>
      <c r="S14" s="77"/>
      <c r="T14" s="104" t="s">
        <v>126</v>
      </c>
      <c r="U14" s="105" t="n">
        <v>95309</v>
      </c>
      <c r="V14" s="106" t="s">
        <v>122</v>
      </c>
      <c r="W14" s="106" t="s">
        <v>127</v>
      </c>
      <c r="X14" s="106" t="s">
        <v>124</v>
      </c>
      <c r="Y14" s="106"/>
      <c r="Z14" s="107" t="s">
        <v>125</v>
      </c>
      <c r="AA14" s="108" t="n">
        <v>1</v>
      </c>
      <c r="AB14" s="109" t="n">
        <f aca="false">SUMIFS('ANALÍTICA AUXILIARES'!AC:AC,'ANALÍTICA AUXILIARES'!T:T,"Composição",'ANALÍTICA AUXILIARES'!U:U,$B14)</f>
        <v>0</v>
      </c>
      <c r="AC14" s="110" t="n">
        <f aca="false">TRUNC(AA14*AB14,2)</f>
        <v>0</v>
      </c>
      <c r="AD14" s="79"/>
    </row>
    <row r="15" customFormat="false" ht="14" hidden="false" customHeight="false" outlineLevel="0" collapsed="false">
      <c r="A15" s="97" t="s">
        <v>29</v>
      </c>
      <c r="B15" s="97"/>
      <c r="C15" s="97"/>
      <c r="D15" s="97" t="s">
        <v>30</v>
      </c>
      <c r="E15" s="97"/>
      <c r="F15" s="97"/>
      <c r="G15" s="97"/>
      <c r="H15" s="98"/>
      <c r="I15" s="97"/>
      <c r="J15" s="99"/>
      <c r="L15" s="77" t="n">
        <f aca="false">IF(AND(A16&lt;&gt;"",A15=""),L14+1,L14)</f>
        <v>1</v>
      </c>
      <c r="M15" s="101" t="str">
        <f aca="false">IF(OR(A15="Insumo",A15="Composição Auxiliar"),J15,"")</f>
        <v/>
      </c>
      <c r="N15" s="102" t="str">
        <f aca="false">IF(ISNUMBER(SEARCH("COM ENCARGOS COMPLEMENTARES",D15)),J15,"")</f>
        <v/>
      </c>
      <c r="O15" s="102" t="str">
        <f aca="false">IF(N15&lt;&gt;"","",M15)</f>
        <v/>
      </c>
      <c r="P15" s="103" t="str">
        <f aca="false">IF(A15="Composição",A14,"")</f>
        <v/>
      </c>
      <c r="Q15" s="102" t="str">
        <f aca="false">IF(P15&lt;&gt;"",SUMIF(L15:L115,L15,N15:N115),"")</f>
        <v/>
      </c>
      <c r="R15" s="102" t="str">
        <f aca="false">IF(P15&lt;&gt;"",SUMIF(L15:L115,L15,O15:O115),"")</f>
        <v/>
      </c>
      <c r="S15" s="78"/>
      <c r="T15" s="111" t="s">
        <v>128</v>
      </c>
      <c r="U15" s="112" t="s">
        <v>129</v>
      </c>
      <c r="V15" s="113" t="str">
        <f aca="false">VLOOKUP(U15,INSUMOS!$A:$I,2,0)</f>
        <v>SINAPI</v>
      </c>
      <c r="W15" s="113" t="str">
        <f aca="false">VLOOKUP(U15,INSUMOS!$A:$I,3,0)</f>
        <v>ALIMENTACAO - HORISTA (COLETADO CAIXA)</v>
      </c>
      <c r="X15" s="113" t="str">
        <f aca="false">VLOOKUP(U15,INSUMOS!$A:$I,4,0)</f>
        <v>Outros</v>
      </c>
      <c r="Y15" s="113"/>
      <c r="Z15" s="114" t="str">
        <f aca="false">VLOOKUP(U15,INSUMOS!$A:$I,5,0)</f>
        <v>H</v>
      </c>
      <c r="AA15" s="115" t="n">
        <v>1</v>
      </c>
      <c r="AB15" s="116" t="n">
        <f aca="false">VLOOKUP(U15,INSUMOS!$A:$I,8,0)</f>
        <v>2.11</v>
      </c>
      <c r="AC15" s="117" t="n">
        <f aca="false">TRUNC(AA15*AB15,2)</f>
        <v>2.11</v>
      </c>
      <c r="AD15" s="79"/>
    </row>
    <row r="16" customFormat="false" ht="14" hidden="false" customHeight="true" outlineLevel="0" collapsed="false">
      <c r="A16" s="118" t="s">
        <v>31</v>
      </c>
      <c r="B16" s="119" t="s">
        <v>115</v>
      </c>
      <c r="C16" s="118" t="s">
        <v>116</v>
      </c>
      <c r="D16" s="118" t="s">
        <v>117</v>
      </c>
      <c r="E16" s="118" t="s">
        <v>118</v>
      </c>
      <c r="F16" s="118"/>
      <c r="G16" s="120" t="s">
        <v>119</v>
      </c>
      <c r="H16" s="119" t="s">
        <v>120</v>
      </c>
      <c r="I16" s="119" t="s">
        <v>130</v>
      </c>
      <c r="J16" s="119" t="s">
        <v>131</v>
      </c>
      <c r="L16" s="77" t="n">
        <f aca="false">IF(AND(A17&lt;&gt;"",A16=""),L15+1,L15)</f>
        <v>1</v>
      </c>
      <c r="M16" s="101" t="str">
        <f aca="false">IF(OR(A16="Insumo",A16="Composição Auxiliar"),J16,"")</f>
        <v/>
      </c>
      <c r="N16" s="102" t="str">
        <f aca="false">IF(ISNUMBER(SEARCH("COM ENCARGOS COMPLEMENTARES",D16)),J16,"")</f>
        <v/>
      </c>
      <c r="O16" s="102" t="str">
        <f aca="false">IF(N16&lt;&gt;"","",M16)</f>
        <v/>
      </c>
      <c r="P16" s="103" t="str">
        <f aca="false">IF(A16="Composição",A15,"")</f>
        <v/>
      </c>
      <c r="Q16" s="102" t="str">
        <f aca="false">IF(P16&lt;&gt;"",SUMIF(L16:L116,L16,N16:N116),"")</f>
        <v/>
      </c>
      <c r="R16" s="102" t="str">
        <f aca="false">IF(P16&lt;&gt;"",SUMIF(L16:L116,L16,O16:O116),"")</f>
        <v/>
      </c>
      <c r="S16" s="78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79"/>
    </row>
    <row r="17" customFormat="false" ht="14.25" hidden="false" customHeight="true" outlineLevel="0" collapsed="false">
      <c r="A17" s="122" t="s">
        <v>121</v>
      </c>
      <c r="B17" s="55" t="s">
        <v>32</v>
      </c>
      <c r="C17" s="122" t="s">
        <v>122</v>
      </c>
      <c r="D17" s="122" t="s">
        <v>132</v>
      </c>
      <c r="E17" s="122" t="s">
        <v>133</v>
      </c>
      <c r="F17" s="122"/>
      <c r="G17" s="123" t="s">
        <v>134</v>
      </c>
      <c r="H17" s="124" t="n">
        <v>1</v>
      </c>
      <c r="I17" s="125" t="n">
        <f aca="false">SUMIF(L:L,$L17,M:M)</f>
        <v>430.85</v>
      </c>
      <c r="J17" s="125" t="n">
        <f aca="false">TRUNC(H17*I17,2)</f>
        <v>430.85</v>
      </c>
      <c r="L17" s="77" t="n">
        <f aca="false">IF(AND(A18&lt;&gt;"",A17=""),L16+1,L16)</f>
        <v>1</v>
      </c>
      <c r="M17" s="101" t="str">
        <f aca="false">IF(OR(A17="Insumo",A17="Composição Auxiliar"),J17,"")</f>
        <v/>
      </c>
      <c r="N17" s="102" t="str">
        <f aca="false">IF(ISNUMBER(SEARCH("COM ENCARGOS COMPLEMENTARES",D17)),J17,"")</f>
        <v/>
      </c>
      <c r="O17" s="102" t="str">
        <f aca="false">IF(N17&lt;&gt;"","",M17)</f>
        <v/>
      </c>
      <c r="P17" s="103" t="str">
        <f aca="false">IF(A17="Composição",A16,"")</f>
        <v> 1.1.1 </v>
      </c>
      <c r="Q17" s="102" t="n">
        <f aca="false">IF(P17&lt;&gt;"",SUMIF(L17:L117,L17,N17:N117),"")</f>
        <v>61.66</v>
      </c>
      <c r="R17" s="102" t="n">
        <f aca="false">IF(P17&lt;&gt;"",SUMIF(L17:L117,L17,O17:O117),"")</f>
        <v>369.19</v>
      </c>
      <c r="S17" s="78"/>
      <c r="T17" s="126"/>
      <c r="U17" s="127" t="s">
        <v>135</v>
      </c>
      <c r="V17" s="127"/>
      <c r="W17" s="128" t="n">
        <f aca="false">TRUNC(SUMIF(Y:Y,$L17,Z:Z)*(1+$J$9),2)</f>
        <v>0</v>
      </c>
      <c r="X17" s="92"/>
      <c r="Y17" s="92"/>
      <c r="Z17" s="93"/>
      <c r="AA17" s="94"/>
      <c r="AB17" s="95"/>
      <c r="AC17" s="95"/>
      <c r="AD17" s="79"/>
    </row>
    <row r="18" customFormat="false" ht="37.5" hidden="false" customHeight="true" outlineLevel="0" collapsed="false">
      <c r="A18" s="129" t="s">
        <v>126</v>
      </c>
      <c r="B18" s="130" t="s">
        <v>136</v>
      </c>
      <c r="C18" s="129" t="s">
        <v>122</v>
      </c>
      <c r="D18" s="129" t="s">
        <v>137</v>
      </c>
      <c r="E18" s="129" t="s">
        <v>138</v>
      </c>
      <c r="F18" s="129"/>
      <c r="G18" s="131" t="s">
        <v>139</v>
      </c>
      <c r="H18" s="132" t="n">
        <v>0.01</v>
      </c>
      <c r="I18" s="133" t="n">
        <f aca="false">SUMIFS('ANALÍTICA AUXILIARES'!J:J,'ANALÍTICA AUXILIARES'!A:A,"Composição",'ANALÍTICA AUXILIARES'!B:B,$B18)</f>
        <v>394.61</v>
      </c>
      <c r="J18" s="133" t="n">
        <f aca="false">TRUNC(H18*I18,2)</f>
        <v>3.94</v>
      </c>
      <c r="L18" s="77" t="n">
        <f aca="false">IF(AND(A19&lt;&gt;"",A18=""),L17+1,L17)</f>
        <v>1</v>
      </c>
      <c r="M18" s="101" t="n">
        <f aca="false">IF(OR(A18="Insumo",A18="Composição Auxiliar"),J18,"")</f>
        <v>3.94</v>
      </c>
      <c r="N18" s="102" t="str">
        <f aca="false">IF(ISNUMBER(SEARCH("COM ENCARGOS COMPLEMENTARES",D18)),J18,"")</f>
        <v/>
      </c>
      <c r="O18" s="102" t="n">
        <f aca="false">IF(N18&lt;&gt;"","",M18)</f>
        <v>3.94</v>
      </c>
      <c r="P18" s="103" t="str">
        <f aca="false">IF(A18="Composição",A17,"")</f>
        <v/>
      </c>
      <c r="Q18" s="102" t="str">
        <f aca="false">IF(P18&lt;&gt;"",SUMIF(L18:L118,L18,N18:N118),"")</f>
        <v/>
      </c>
      <c r="R18" s="102" t="str">
        <f aca="false">IF(P18&lt;&gt;"",SUMIF(L18:L118,L18,O18:O118),"")</f>
        <v/>
      </c>
      <c r="S18" s="78"/>
      <c r="T18" s="134" t="s">
        <v>140</v>
      </c>
      <c r="U18" s="135" t="n">
        <v>1.6</v>
      </c>
      <c r="V18" s="136" t="s">
        <v>141</v>
      </c>
      <c r="W18" s="137" t="n">
        <f aca="false">TRUNC(W17*U18,2)</f>
        <v>0</v>
      </c>
      <c r="X18" s="106"/>
      <c r="Y18" s="106"/>
      <c r="Z18" s="107"/>
      <c r="AA18" s="108"/>
      <c r="AB18" s="109"/>
      <c r="AC18" s="109"/>
      <c r="AD18" s="79"/>
    </row>
    <row r="19" customFormat="false" ht="25" hidden="false" customHeight="true" outlineLevel="0" collapsed="false">
      <c r="A19" s="129" t="s">
        <v>126</v>
      </c>
      <c r="B19" s="130" t="s">
        <v>142</v>
      </c>
      <c r="C19" s="129" t="s">
        <v>122</v>
      </c>
      <c r="D19" s="129" t="s">
        <v>143</v>
      </c>
      <c r="E19" s="129" t="s">
        <v>124</v>
      </c>
      <c r="F19" s="129"/>
      <c r="G19" s="131" t="s">
        <v>125</v>
      </c>
      <c r="H19" s="132" t="n">
        <v>2</v>
      </c>
      <c r="I19" s="133" t="n">
        <f aca="false">SUMIFS('ANALÍTICA AUXILIARES'!J:J,'ANALÍTICA AUXILIARES'!A:A,"Composição",'ANALÍTICA AUXILIARES'!B:B,$B19)</f>
        <v>17.74</v>
      </c>
      <c r="J19" s="133" t="n">
        <f aca="false">TRUNC(H19*I19,2)</f>
        <v>35.48</v>
      </c>
      <c r="L19" s="77" t="n">
        <f aca="false">IF(AND(A20&lt;&gt;"",A19=""),L18+1,L18)</f>
        <v>1</v>
      </c>
      <c r="M19" s="101" t="n">
        <f aca="false">IF(OR(A19="Insumo",A19="Composição Auxiliar"),J19,"")</f>
        <v>35.48</v>
      </c>
      <c r="N19" s="102" t="n">
        <f aca="false">IF(ISNUMBER(SEARCH("COM ENCARGOS COMPLEMENTARES",D19)),J19,"")</f>
        <v>35.48</v>
      </c>
      <c r="O19" s="102" t="str">
        <f aca="false">IF(N19&lt;&gt;"","",M19)</f>
        <v/>
      </c>
      <c r="P19" s="103" t="str">
        <f aca="false">IF(A19="Composição",A18,"")</f>
        <v/>
      </c>
      <c r="Q19" s="102" t="str">
        <f aca="false">IF(P19&lt;&gt;"",SUMIF(L19:L119,L19,N19:N119),"")</f>
        <v/>
      </c>
      <c r="R19" s="102" t="str">
        <f aca="false">IF(P19&lt;&gt;"",SUMIF(L19:L119,L19,O19:O119),"")</f>
        <v/>
      </c>
      <c r="S19" s="78"/>
      <c r="T19" s="138"/>
      <c r="U19" s="139"/>
      <c r="V19" s="138"/>
      <c r="W19" s="138"/>
      <c r="X19" s="138"/>
      <c r="Y19" s="138"/>
      <c r="Z19" s="140"/>
      <c r="AA19" s="141"/>
      <c r="AB19" s="142"/>
      <c r="AC19" s="142"/>
      <c r="AD19" s="79"/>
    </row>
    <row r="20" customFormat="false" ht="25" hidden="false" customHeight="true" outlineLevel="0" collapsed="false">
      <c r="A20" s="129" t="s">
        <v>126</v>
      </c>
      <c r="B20" s="130" t="s">
        <v>144</v>
      </c>
      <c r="C20" s="129" t="s">
        <v>122</v>
      </c>
      <c r="D20" s="129" t="s">
        <v>145</v>
      </c>
      <c r="E20" s="129" t="s">
        <v>124</v>
      </c>
      <c r="F20" s="129"/>
      <c r="G20" s="131" t="s">
        <v>125</v>
      </c>
      <c r="H20" s="132" t="n">
        <v>1</v>
      </c>
      <c r="I20" s="133" t="n">
        <f aca="false">SUMIFS('ANALÍTICA AUXILIARES'!J:J,'ANALÍTICA AUXILIARES'!A:A,"Composição",'ANALÍTICA AUXILIARES'!B:B,$B20)</f>
        <v>26.18</v>
      </c>
      <c r="J20" s="133" t="n">
        <f aca="false">TRUNC(H20*I20,2)</f>
        <v>26.18</v>
      </c>
      <c r="L20" s="77" t="n">
        <f aca="false">IF(AND(A21&lt;&gt;"",A20=""),L19+1,L19)</f>
        <v>1</v>
      </c>
      <c r="M20" s="101" t="n">
        <f aca="false">IF(OR(A20="Insumo",A20="Composição Auxiliar"),J20,"")</f>
        <v>26.18</v>
      </c>
      <c r="N20" s="102" t="n">
        <f aca="false">IF(ISNUMBER(SEARCH("COM ENCARGOS COMPLEMENTARES",D20)),J20,"")</f>
        <v>26.18</v>
      </c>
      <c r="O20" s="102" t="str">
        <f aca="false">IF(N20&lt;&gt;"","",M20)</f>
        <v/>
      </c>
      <c r="P20" s="103" t="str">
        <f aca="false">IF(A20="Composição",A19,"")</f>
        <v/>
      </c>
      <c r="Q20" s="102" t="str">
        <f aca="false">IF(P20&lt;&gt;"",SUMIF(L20:L120,L20,N20:N120),"")</f>
        <v/>
      </c>
      <c r="R20" s="102" t="str">
        <f aca="false">IF(P20&lt;&gt;"",SUMIF(L20:L120,L20,O20:O120),"")</f>
        <v/>
      </c>
      <c r="S20" s="78"/>
      <c r="T20" s="78"/>
      <c r="U20" s="78"/>
      <c r="V20" s="78"/>
      <c r="W20" s="78"/>
      <c r="AA20" s="78"/>
      <c r="AB20" s="78"/>
      <c r="AC20" s="78"/>
      <c r="AD20" s="79"/>
    </row>
    <row r="21" customFormat="false" ht="25" hidden="false" customHeight="false" outlineLevel="0" collapsed="false">
      <c r="A21" s="143" t="s">
        <v>128</v>
      </c>
      <c r="B21" s="144" t="s">
        <v>146</v>
      </c>
      <c r="C21" s="143" t="str">
        <f aca="false">VLOOKUP(B21,INSUMOS!$A:$I,2,0)</f>
        <v>SINAPI</v>
      </c>
      <c r="D21" s="143" t="str">
        <f aca="false">VLOOKUP(B21,INSUMOS!$A:$I,3,0)</f>
        <v>PLACA DE OBRA (PARA CONSTRUCAO CIVIL) EM CHAPA GALVANIZADA *N. 22*, ADESIVADA, DE *2,4 X 1,2* M (SEM POSTES PARA FIXACAO)</v>
      </c>
      <c r="E21" s="143" t="str">
        <f aca="false">VLOOKUP(B21,INSUMOS!$A:$I,4,0)</f>
        <v>Material</v>
      </c>
      <c r="F21" s="143"/>
      <c r="G21" s="145" t="str">
        <f aca="false">VLOOKUP(B21,INSUMOS!$A:$I,5,0)</f>
        <v>m²</v>
      </c>
      <c r="H21" s="146" t="n">
        <v>1</v>
      </c>
      <c r="I21" s="147" t="n">
        <f aca="false">VLOOKUP(B21,INSUMOS!$A:$I,8,0)</f>
        <v>315</v>
      </c>
      <c r="J21" s="147" t="n">
        <f aca="false">TRUNC(H21*I21,2)</f>
        <v>315</v>
      </c>
      <c r="L21" s="68" t="n">
        <f aca="false">IF(AND(A22&lt;&gt;"",A21=""),L20+1,L20)</f>
        <v>1</v>
      </c>
      <c r="M21" s="101" t="n">
        <f aca="false">IF(OR(A21="Insumo",A21="Composição Auxiliar"),J21,"")</f>
        <v>315</v>
      </c>
      <c r="N21" s="102" t="str">
        <f aca="false">IF(ISNUMBER(SEARCH("COM ENCARGOS COMPLEMENTARES",D21)),J21,"")</f>
        <v/>
      </c>
      <c r="O21" s="102" t="n">
        <f aca="false">IF(N21&lt;&gt;"","",M21)</f>
        <v>315</v>
      </c>
      <c r="P21" s="103" t="str">
        <f aca="false">IF(A21="Composição",A20,"")</f>
        <v/>
      </c>
      <c r="Q21" s="102" t="str">
        <f aca="false">IF(P21&lt;&gt;"",SUMIF(L21:L121,L21,N21:N121),"")</f>
        <v/>
      </c>
      <c r="R21" s="102" t="str">
        <f aca="false">IF(P21&lt;&gt;"",SUMIF(L21:L121,L21,O21:O121),"")</f>
        <v/>
      </c>
      <c r="U21" s="77"/>
      <c r="V21" s="77"/>
    </row>
    <row r="22" customFormat="false" ht="25" hidden="false" customHeight="false" outlineLevel="0" collapsed="false">
      <c r="A22" s="143" t="s">
        <v>128</v>
      </c>
      <c r="B22" s="144" t="s">
        <v>147</v>
      </c>
      <c r="C22" s="143" t="str">
        <f aca="false">VLOOKUP(B22,INSUMOS!$A:$I,2,0)</f>
        <v>SINAPI</v>
      </c>
      <c r="D22" s="143" t="str">
        <f aca="false">VLOOKUP(B22,INSUMOS!$A:$I,3,0)</f>
        <v>PONTALETE *7,5 X 7,5* CM EM PINUS, MISTA OU EQUIVALENTE DA REGIAO - BRUTA</v>
      </c>
      <c r="E22" s="143" t="str">
        <f aca="false">VLOOKUP(B22,INSUMOS!$A:$I,4,0)</f>
        <v>Material</v>
      </c>
      <c r="F22" s="143"/>
      <c r="G22" s="145" t="str">
        <f aca="false">VLOOKUP(B22,INSUMOS!$A:$I,5,0)</f>
        <v>M</v>
      </c>
      <c r="H22" s="146" t="n">
        <v>4</v>
      </c>
      <c r="I22" s="147" t="n">
        <f aca="false">VLOOKUP(B22,INSUMOS!$A:$I,8,0)</f>
        <v>10.03</v>
      </c>
      <c r="J22" s="147" t="n">
        <f aca="false">TRUNC(H22*I22,2)</f>
        <v>40.12</v>
      </c>
      <c r="L22" s="68" t="n">
        <f aca="false">IF(AND(A23&lt;&gt;"",A22=""),L21+1,L21)</f>
        <v>1</v>
      </c>
      <c r="M22" s="101" t="n">
        <f aca="false">IF(OR(A22="Insumo",A22="Composição Auxiliar"),J22,"")</f>
        <v>40.12</v>
      </c>
      <c r="N22" s="102" t="str">
        <f aca="false">IF(ISNUMBER(SEARCH("COM ENCARGOS COMPLEMENTARES",D22)),J22,"")</f>
        <v/>
      </c>
      <c r="O22" s="102" t="n">
        <f aca="false">IF(N22&lt;&gt;"","",M22)</f>
        <v>40.12</v>
      </c>
      <c r="P22" s="103" t="str">
        <f aca="false">IF(A22="Composição",A21,"")</f>
        <v/>
      </c>
      <c r="Q22" s="102" t="str">
        <f aca="false">IF(P22&lt;&gt;"",SUMIF(L22:L122,L22,N22:N122),"")</f>
        <v/>
      </c>
      <c r="R22" s="102" t="str">
        <f aca="false">IF(P22&lt;&gt;"",SUMIF(L22:L122,L22,O22:O122),"")</f>
        <v/>
      </c>
      <c r="U22" s="148"/>
    </row>
    <row r="23" customFormat="false" ht="14" hidden="false" customHeight="false" outlineLevel="0" collapsed="false">
      <c r="A23" s="143" t="s">
        <v>128</v>
      </c>
      <c r="B23" s="144" t="s">
        <v>148</v>
      </c>
      <c r="C23" s="143" t="str">
        <f aca="false">VLOOKUP(B23,INSUMOS!$A:$I,2,0)</f>
        <v>SINAPI</v>
      </c>
      <c r="D23" s="143" t="str">
        <f aca="false">VLOOKUP(B23,INSUMOS!$A:$I,3,0)</f>
        <v>PREGO DE ACO POLIDO COM CABECA 18 X 30 (2 3/4 X 10)</v>
      </c>
      <c r="E23" s="143" t="str">
        <f aca="false">VLOOKUP(B23,INSUMOS!$A:$I,4,0)</f>
        <v>Material</v>
      </c>
      <c r="F23" s="143"/>
      <c r="G23" s="145" t="str">
        <f aca="false">VLOOKUP(B23,INSUMOS!$A:$I,5,0)</f>
        <v>KG</v>
      </c>
      <c r="H23" s="146" t="n">
        <v>0.11</v>
      </c>
      <c r="I23" s="147" t="n">
        <f aca="false">VLOOKUP(B23,INSUMOS!$A:$I,8,0)</f>
        <v>24.45</v>
      </c>
      <c r="J23" s="147" t="n">
        <f aca="false">TRUNC(H23*I23,2)</f>
        <v>2.68</v>
      </c>
      <c r="L23" s="68" t="n">
        <f aca="false">IF(AND(A24&lt;&gt;"",A23=""),L22+1,L22)</f>
        <v>1</v>
      </c>
      <c r="M23" s="101" t="n">
        <f aca="false">IF(OR(A23="Insumo",A23="Composição Auxiliar"),J23,"")</f>
        <v>2.68</v>
      </c>
      <c r="N23" s="102" t="str">
        <f aca="false">IF(ISNUMBER(SEARCH("COM ENCARGOS COMPLEMENTARES",D23)),J23,"")</f>
        <v/>
      </c>
      <c r="O23" s="102" t="n">
        <f aca="false">IF(N23&lt;&gt;"","",M23)</f>
        <v>2.68</v>
      </c>
      <c r="P23" s="103" t="str">
        <f aca="false">IF(A23="Composição",A22,"")</f>
        <v/>
      </c>
      <c r="Q23" s="102" t="str">
        <f aca="false">IF(P23&lt;&gt;"",SUMIF(L23:L123,L23,N23:N123),"")</f>
        <v/>
      </c>
      <c r="R23" s="102" t="str">
        <f aca="false">IF(P23&lt;&gt;"",SUMIF(L23:L123,L23,O23:O123),"")</f>
        <v/>
      </c>
    </row>
    <row r="24" customFormat="false" ht="25" hidden="false" customHeight="false" outlineLevel="0" collapsed="false">
      <c r="A24" s="143" t="s">
        <v>128</v>
      </c>
      <c r="B24" s="144" t="s">
        <v>149</v>
      </c>
      <c r="C24" s="143" t="str">
        <f aca="false">VLOOKUP(B24,INSUMOS!$A:$I,2,0)</f>
        <v>SINAPI</v>
      </c>
      <c r="D24" s="143" t="str">
        <f aca="false">VLOOKUP(B24,INSUMOS!$A:$I,3,0)</f>
        <v>SARRAFO NAO APARELHADO *2,5 X 7* CM, EM MACARANDUBA, ANGELIM OU EQUIVALENTE DA REGIAO -  BRUTA</v>
      </c>
      <c r="E24" s="143" t="str">
        <f aca="false">VLOOKUP(B24,INSUMOS!$A:$I,4,0)</f>
        <v>Material</v>
      </c>
      <c r="F24" s="143"/>
      <c r="G24" s="145" t="str">
        <f aca="false">VLOOKUP(B24,INSUMOS!$A:$I,5,0)</f>
        <v>M</v>
      </c>
      <c r="H24" s="146" t="n">
        <v>1</v>
      </c>
      <c r="I24" s="147" t="n">
        <f aca="false">VLOOKUP(B24,INSUMOS!$A:$I,8,0)</f>
        <v>7.45</v>
      </c>
      <c r="J24" s="147" t="n">
        <f aca="false">TRUNC(H24*I24,2)</f>
        <v>7.45</v>
      </c>
      <c r="L24" s="68" t="n">
        <f aca="false">IF(AND(A25&lt;&gt;"",A24=""),L23+1,L23)</f>
        <v>1</v>
      </c>
      <c r="M24" s="101" t="n">
        <f aca="false">IF(OR(A24="Insumo",A24="Composição Auxiliar"),J24,"")</f>
        <v>7.45</v>
      </c>
      <c r="N24" s="102" t="str">
        <f aca="false">IF(ISNUMBER(SEARCH("COM ENCARGOS COMPLEMENTARES",D24)),J24,"")</f>
        <v/>
      </c>
      <c r="O24" s="102" t="n">
        <f aca="false">IF(N24&lt;&gt;"","",M24)</f>
        <v>7.45</v>
      </c>
      <c r="P24" s="103" t="str">
        <f aca="false">IF(A24="Composição",A23,"")</f>
        <v/>
      </c>
      <c r="Q24" s="102" t="str">
        <f aca="false">IF(P24&lt;&gt;"",SUMIF(L24:L124,L24,N24:N124),"")</f>
        <v/>
      </c>
      <c r="R24" s="102" t="str">
        <f aca="false">IF(P24&lt;&gt;"",SUMIF(L24:L124,L24,O24:O124),"")</f>
        <v/>
      </c>
    </row>
    <row r="25" customFormat="false" ht="14" hidden="false" customHeight="false" outlineLevel="0" collapsed="false">
      <c r="A25" s="149"/>
      <c r="B25" s="149"/>
      <c r="C25" s="149"/>
      <c r="D25" s="149"/>
      <c r="E25" s="149"/>
      <c r="F25" s="150"/>
      <c r="G25" s="149"/>
      <c r="H25" s="150"/>
      <c r="I25" s="149"/>
      <c r="J25" s="150"/>
      <c r="L25" s="68" t="n">
        <f aca="false">IF(AND(A26&lt;&gt;"",A25=""),L24+1,L24)</f>
        <v>1</v>
      </c>
      <c r="M25" s="101" t="str">
        <f aca="false">IF(OR(A25="Insumo",A25="Composição Auxiliar"),J25,"")</f>
        <v/>
      </c>
      <c r="N25" s="102" t="str">
        <f aca="false">IF(ISNUMBER(SEARCH("COM ENCARGOS COMPLEMENTARES",D25)),J25,"")</f>
        <v/>
      </c>
      <c r="O25" s="102" t="str">
        <f aca="false">IF(N25&lt;&gt;"","",M25)</f>
        <v/>
      </c>
      <c r="P25" s="103" t="str">
        <f aca="false">IF(A25="Composição",A24,"")</f>
        <v/>
      </c>
      <c r="Q25" s="102" t="str">
        <f aca="false">IF(P25&lt;&gt;"",SUMIF(L25:L125,L25,N25:N125),"")</f>
        <v/>
      </c>
      <c r="R25" s="102" t="str">
        <f aca="false">IF(P25&lt;&gt;"",SUMIF(L25:L125,L25,O25:O125),"")</f>
        <v/>
      </c>
    </row>
    <row r="26" customFormat="false" ht="14.25" hidden="false" customHeight="true" outlineLevel="0" collapsed="false">
      <c r="A26" s="149"/>
      <c r="B26" s="149"/>
      <c r="C26" s="149"/>
      <c r="D26" s="149"/>
      <c r="E26" s="149"/>
      <c r="F26" s="150"/>
      <c r="G26" s="149"/>
      <c r="H26" s="151" t="s">
        <v>135</v>
      </c>
      <c r="I26" s="151"/>
      <c r="J26" s="150" t="n">
        <f aca="false">TRUNC(SUMIF(L:L,$L26,M:M)*(1+$J$9),2)</f>
        <v>526.58</v>
      </c>
      <c r="L26" s="68" t="n">
        <f aca="false">IF(AND(A27&lt;&gt;"",A26=""),L25+1,L25)</f>
        <v>1</v>
      </c>
      <c r="M26" s="101" t="str">
        <f aca="false">IF(OR(A26="Insumo",A26="Composição Auxiliar"),J26,"")</f>
        <v/>
      </c>
      <c r="N26" s="102" t="str">
        <f aca="false">IF(ISNUMBER(SEARCH("COM ENCARGOS COMPLEMENTARES",D26)),J26,"")</f>
        <v/>
      </c>
      <c r="O26" s="102" t="str">
        <f aca="false">IF(N26&lt;&gt;"","",M26)</f>
        <v/>
      </c>
      <c r="P26" s="103" t="str">
        <f aca="false">IF(A26="Composição",A25,"")</f>
        <v/>
      </c>
      <c r="Q26" s="102" t="str">
        <f aca="false">IF(P26&lt;&gt;"",SUMIF(L26:L126,L26,N26:N126),"")</f>
        <v/>
      </c>
      <c r="R26" s="102" t="str">
        <f aca="false">IF(P26&lt;&gt;"",SUMIF(L26:L126,L26,O26:O126),"")</f>
        <v/>
      </c>
    </row>
    <row r="27" customFormat="false" ht="14.5" hidden="false" customHeight="false" outlineLevel="0" collapsed="false">
      <c r="A27" s="152"/>
      <c r="B27" s="152"/>
      <c r="C27" s="152"/>
      <c r="D27" s="152"/>
      <c r="E27" s="152"/>
      <c r="F27" s="152"/>
      <c r="G27" s="152" t="s">
        <v>140</v>
      </c>
      <c r="H27" s="153" t="n">
        <v>1.6</v>
      </c>
      <c r="I27" s="152" t="s">
        <v>141</v>
      </c>
      <c r="J27" s="154" t="n">
        <f aca="false">TRUNC(J26*H27,2)</f>
        <v>842.52</v>
      </c>
      <c r="L27" s="68" t="n">
        <f aca="false">IF(AND(A28&lt;&gt;"",A27=""),L26+1,L26)</f>
        <v>1</v>
      </c>
      <c r="M27" s="101" t="str">
        <f aca="false">IF(OR(A27="Insumo",A27="Composição Auxiliar"),J27,"")</f>
        <v/>
      </c>
      <c r="N27" s="102" t="str">
        <f aca="false">IF(ISNUMBER(SEARCH("COM ENCARGOS COMPLEMENTARES",D27)),J27,"")</f>
        <v/>
      </c>
      <c r="O27" s="102" t="str">
        <f aca="false">IF(N27&lt;&gt;"","",M27)</f>
        <v/>
      </c>
      <c r="P27" s="103" t="str">
        <f aca="false">IF(A27="Composição",A26,"")</f>
        <v/>
      </c>
      <c r="Q27" s="102" t="str">
        <f aca="false">IF(P27&lt;&gt;"",SUMIF(L27:L127,L27,N27:N127),"")</f>
        <v/>
      </c>
      <c r="R27" s="102" t="str">
        <f aca="false">IF(P27&lt;&gt;"",SUMIF(L27:L127,L27,O27:O127),"")</f>
        <v/>
      </c>
    </row>
    <row r="28" customFormat="false" ht="14.5" hidden="false" customHeight="false" outlineLevel="0" collapsed="false">
      <c r="A28" s="155"/>
      <c r="B28" s="155"/>
      <c r="C28" s="155"/>
      <c r="D28" s="155"/>
      <c r="E28" s="155"/>
      <c r="F28" s="155"/>
      <c r="G28" s="155"/>
      <c r="H28" s="155"/>
      <c r="I28" s="155"/>
      <c r="J28" s="155"/>
      <c r="L28" s="68" t="n">
        <f aca="false">IF(AND(A29&lt;&gt;"",A28=""),L27+1,L27)</f>
        <v>2</v>
      </c>
      <c r="M28" s="101" t="str">
        <f aca="false">IF(OR(A28="Insumo",A28="Composição Auxiliar"),J28,"")</f>
        <v/>
      </c>
      <c r="N28" s="102" t="str">
        <f aca="false">IF(ISNUMBER(SEARCH("COM ENCARGOS COMPLEMENTARES",D28)),J28,"")</f>
        <v/>
      </c>
      <c r="O28" s="102" t="str">
        <f aca="false">IF(N28&lt;&gt;"","",M28)</f>
        <v/>
      </c>
      <c r="P28" s="103" t="str">
        <f aca="false">IF(A28="Composição",A27,"")</f>
        <v/>
      </c>
      <c r="Q28" s="102" t="str">
        <f aca="false">IF(P28&lt;&gt;"",SUMIF(L28:L128,L28,N28:N128),"")</f>
        <v/>
      </c>
      <c r="R28" s="102" t="str">
        <f aca="false">IF(P28&lt;&gt;"",SUMIF(L28:L128,L28,O28:O128),"")</f>
        <v/>
      </c>
    </row>
    <row r="29" customFormat="false" ht="14" hidden="false" customHeight="false" outlineLevel="0" collapsed="false">
      <c r="A29" s="97" t="s">
        <v>33</v>
      </c>
      <c r="B29" s="97"/>
      <c r="C29" s="97"/>
      <c r="D29" s="97" t="s">
        <v>34</v>
      </c>
      <c r="E29" s="97"/>
      <c r="F29" s="97"/>
      <c r="G29" s="97"/>
      <c r="H29" s="98"/>
      <c r="I29" s="97"/>
      <c r="J29" s="99"/>
      <c r="L29" s="68" t="n">
        <f aca="false">IF(AND(A30&lt;&gt;"",A29=""),L28+1,L28)</f>
        <v>2</v>
      </c>
      <c r="M29" s="101" t="str">
        <f aca="false">IF(OR(A29="Insumo",A29="Composição Auxiliar"),J29,"")</f>
        <v/>
      </c>
      <c r="N29" s="102" t="str">
        <f aca="false">IF(ISNUMBER(SEARCH("COM ENCARGOS COMPLEMENTARES",D29)),J29,"")</f>
        <v/>
      </c>
      <c r="O29" s="102" t="str">
        <f aca="false">IF(N29&lt;&gt;"","",M29)</f>
        <v/>
      </c>
      <c r="P29" s="103" t="str">
        <f aca="false">IF(A29="Composição",A28,"")</f>
        <v/>
      </c>
      <c r="Q29" s="102" t="str">
        <f aca="false">IF(P29&lt;&gt;"",SUMIF(L29:L129,L29,N29:N129),"")</f>
        <v/>
      </c>
      <c r="R29" s="102" t="str">
        <f aca="false">IF(P29&lt;&gt;"",SUMIF(L29:L129,L29,O29:O129),"")</f>
        <v/>
      </c>
    </row>
    <row r="30" customFormat="false" ht="14" hidden="false" customHeight="true" outlineLevel="0" collapsed="false">
      <c r="A30" s="118" t="s">
        <v>35</v>
      </c>
      <c r="B30" s="119" t="s">
        <v>115</v>
      </c>
      <c r="C30" s="118" t="s">
        <v>116</v>
      </c>
      <c r="D30" s="118" t="s">
        <v>117</v>
      </c>
      <c r="E30" s="118" t="s">
        <v>118</v>
      </c>
      <c r="F30" s="118"/>
      <c r="G30" s="120" t="s">
        <v>119</v>
      </c>
      <c r="H30" s="119" t="s">
        <v>120</v>
      </c>
      <c r="I30" s="119" t="s">
        <v>130</v>
      </c>
      <c r="J30" s="119" t="s">
        <v>131</v>
      </c>
      <c r="L30" s="68" t="n">
        <f aca="false">IF(AND(A31&lt;&gt;"",A30=""),L29+1,L29)</f>
        <v>2</v>
      </c>
      <c r="M30" s="101" t="str">
        <f aca="false">IF(OR(A30="Insumo",A30="Composição Auxiliar"),J30,"")</f>
        <v/>
      </c>
      <c r="N30" s="102" t="str">
        <f aca="false">IF(ISNUMBER(SEARCH("COM ENCARGOS COMPLEMENTARES",D30)),J30,"")</f>
        <v/>
      </c>
      <c r="O30" s="102" t="str">
        <f aca="false">IF(N30&lt;&gt;"","",M30)</f>
        <v/>
      </c>
      <c r="P30" s="103" t="str">
        <f aca="false">IF(A30="Composição",A29,"")</f>
        <v/>
      </c>
      <c r="Q30" s="102" t="str">
        <f aca="false">IF(P30&lt;&gt;"",SUMIF(L30:L130,L30,N30:N130),"")</f>
        <v/>
      </c>
      <c r="R30" s="102" t="str">
        <f aca="false">IF(P30&lt;&gt;"",SUMIF(L30:L130,L30,O30:O130),"")</f>
        <v/>
      </c>
    </row>
    <row r="31" customFormat="false" ht="50" hidden="false" customHeight="true" outlineLevel="0" collapsed="false">
      <c r="A31" s="122" t="s">
        <v>121</v>
      </c>
      <c r="B31" s="55" t="s">
        <v>36</v>
      </c>
      <c r="C31" s="122" t="s">
        <v>122</v>
      </c>
      <c r="D31" s="122" t="s">
        <v>150</v>
      </c>
      <c r="E31" s="122" t="s">
        <v>133</v>
      </c>
      <c r="F31" s="122"/>
      <c r="G31" s="123" t="s">
        <v>151</v>
      </c>
      <c r="H31" s="124" t="n">
        <v>1</v>
      </c>
      <c r="I31" s="125" t="n">
        <f aca="false">SUMIF(L:L,$L31,M:M)</f>
        <v>648.43</v>
      </c>
      <c r="J31" s="125" t="n">
        <f aca="false">TRUNC(H31*I31,2)</f>
        <v>648.43</v>
      </c>
      <c r="L31" s="68" t="n">
        <f aca="false">IF(AND(A32&lt;&gt;"",A31=""),L30+1,L30)</f>
        <v>2</v>
      </c>
      <c r="M31" s="101" t="str">
        <f aca="false">IF(OR(A31="Insumo",A31="Composição Auxiliar"),J31,"")</f>
        <v/>
      </c>
      <c r="N31" s="102" t="str">
        <f aca="false">IF(ISNUMBER(SEARCH("COM ENCARGOS COMPLEMENTARES",D31)),J31,"")</f>
        <v/>
      </c>
      <c r="O31" s="102" t="str">
        <f aca="false">IF(N31&lt;&gt;"","",M31)</f>
        <v/>
      </c>
      <c r="P31" s="103" t="str">
        <f aca="false">IF(A31="Composição",A30,"")</f>
        <v> 1.2.1 </v>
      </c>
      <c r="Q31" s="102" t="n">
        <f aca="false">IF(P31&lt;&gt;"",SUMIF(L31:L131,L31,N31:N131),"")</f>
        <v>0</v>
      </c>
      <c r="R31" s="102" t="n">
        <f aca="false">IF(P31&lt;&gt;"",SUMIF(L31:L131,L31,O31:O131),"")</f>
        <v>648.43</v>
      </c>
    </row>
    <row r="32" customFormat="false" ht="25.5" hidden="false" customHeight="true" outlineLevel="0" collapsed="false">
      <c r="A32" s="143" t="s">
        <v>128</v>
      </c>
      <c r="B32" s="144" t="s">
        <v>152</v>
      </c>
      <c r="C32" s="143" t="str">
        <f aca="false">VLOOKUP(B32,INSUMOS!$A:$I,2,0)</f>
        <v>SINAPI</v>
      </c>
      <c r="D32" s="143" t="str">
        <f aca="false">VLOOKUP(B32,INSUMOS!$A:$I,3,0)</f>
        <v>LOCACAO DE CONTAINER 2,30 X 6,00 M, ALT. 2,50 M, PARA ESCRITORIO, SEM DIVISORIAS INTERNAS E SEM SANITARIO (NAO INCLUI MOBILIZACAO/DESMOBILIZACAO)</v>
      </c>
      <c r="E32" s="143" t="str">
        <f aca="false">VLOOKUP(B32,INSUMOS!$A:$I,4,0)</f>
        <v>Equipamento</v>
      </c>
      <c r="F32" s="143"/>
      <c r="G32" s="145" t="str">
        <f aca="false">VLOOKUP(B32,INSUMOS!$A:$I,5,0)</f>
        <v>MES</v>
      </c>
      <c r="H32" s="146" t="n">
        <v>1</v>
      </c>
      <c r="I32" s="147" t="n">
        <f aca="false">VLOOKUP(B32,INSUMOS!$A:$I,8,0)</f>
        <v>648.43</v>
      </c>
      <c r="J32" s="147" t="n">
        <f aca="false">TRUNC(H32*I32,2)</f>
        <v>648.43</v>
      </c>
      <c r="L32" s="68" t="n">
        <f aca="false">IF(AND(A33&lt;&gt;"",A32=""),L31+1,L31)</f>
        <v>2</v>
      </c>
      <c r="M32" s="101" t="n">
        <f aca="false">IF(OR(A32="Insumo",A32="Composição Auxiliar"),J32,"")</f>
        <v>648.43</v>
      </c>
      <c r="N32" s="102" t="str">
        <f aca="false">IF(ISNUMBER(SEARCH("COM ENCARGOS COMPLEMENTARES",D32)),J32,"")</f>
        <v/>
      </c>
      <c r="O32" s="102" t="n">
        <f aca="false">IF(N32&lt;&gt;"","",M32)</f>
        <v>648.43</v>
      </c>
      <c r="P32" s="103" t="str">
        <f aca="false">IF(A32="Composição",A31,"")</f>
        <v/>
      </c>
      <c r="Q32" s="102" t="str">
        <f aca="false">IF(P32&lt;&gt;"",SUMIF(L32:L132,L32,N32:N132),"")</f>
        <v/>
      </c>
      <c r="R32" s="102" t="str">
        <f aca="false">IF(P32&lt;&gt;"",SUMIF(L32:L132,L32,O32:O132),"")</f>
        <v/>
      </c>
    </row>
    <row r="33" customFormat="false" ht="14" hidden="false" customHeight="false" outlineLevel="0" collapsed="false">
      <c r="A33" s="149"/>
      <c r="B33" s="149"/>
      <c r="C33" s="149"/>
      <c r="D33" s="149"/>
      <c r="E33" s="149"/>
      <c r="F33" s="150"/>
      <c r="G33" s="149"/>
      <c r="H33" s="150"/>
      <c r="I33" s="149"/>
      <c r="J33" s="150"/>
      <c r="L33" s="68" t="n">
        <f aca="false">IF(AND(A34&lt;&gt;"",A33=""),L32+1,L32)</f>
        <v>2</v>
      </c>
      <c r="M33" s="101" t="str">
        <f aca="false">IF(OR(A33="Insumo",A33="Composição Auxiliar"),J33,"")</f>
        <v/>
      </c>
      <c r="N33" s="102" t="str">
        <f aca="false">IF(ISNUMBER(SEARCH("COM ENCARGOS COMPLEMENTARES",D33)),J33,"")</f>
        <v/>
      </c>
      <c r="O33" s="102" t="str">
        <f aca="false">IF(N33&lt;&gt;"","",M33)</f>
        <v/>
      </c>
      <c r="P33" s="103" t="str">
        <f aca="false">IF(A33="Composição",A32,"")</f>
        <v/>
      </c>
      <c r="Q33" s="102" t="str">
        <f aca="false">IF(P33&lt;&gt;"",SUMIF(L33:L133,L33,N33:N133),"")</f>
        <v/>
      </c>
      <c r="R33" s="102" t="str">
        <f aca="false">IF(P33&lt;&gt;"",SUMIF(L33:L133,L33,O33:O133),"")</f>
        <v/>
      </c>
    </row>
    <row r="34" customFormat="false" ht="38.25" hidden="false" customHeight="true" outlineLevel="0" collapsed="false">
      <c r="A34" s="149"/>
      <c r="B34" s="149"/>
      <c r="C34" s="149"/>
      <c r="D34" s="149"/>
      <c r="E34" s="149"/>
      <c r="F34" s="150"/>
      <c r="G34" s="149"/>
      <c r="H34" s="151" t="s">
        <v>135</v>
      </c>
      <c r="I34" s="151"/>
      <c r="J34" s="150" t="n">
        <f aca="false">TRUNC(SUMIF(L:L,$L34,M:M)*(1+$J$9),2)</f>
        <v>792.51</v>
      </c>
      <c r="L34" s="68" t="n">
        <f aca="false">IF(AND(A35&lt;&gt;"",A34=""),L33+1,L33)</f>
        <v>2</v>
      </c>
      <c r="M34" s="101" t="str">
        <f aca="false">IF(OR(A34="Insumo",A34="Composição Auxiliar"),J34,"")</f>
        <v/>
      </c>
      <c r="N34" s="102" t="str">
        <f aca="false">IF(ISNUMBER(SEARCH("COM ENCARGOS COMPLEMENTARES",D34)),J34,"")</f>
        <v/>
      </c>
      <c r="O34" s="102" t="str">
        <f aca="false">IF(N34&lt;&gt;"","",M34)</f>
        <v/>
      </c>
      <c r="P34" s="103" t="str">
        <f aca="false">IF(A34="Composição",A33,"")</f>
        <v/>
      </c>
      <c r="Q34" s="102" t="str">
        <f aca="false">IF(P34&lt;&gt;"",SUMIF(L34:L134,L34,N34:N134),"")</f>
        <v/>
      </c>
      <c r="R34" s="102" t="str">
        <f aca="false">IF(P34&lt;&gt;"",SUMIF(L34:L134,L34,O34:O134),"")</f>
        <v/>
      </c>
    </row>
    <row r="35" customFormat="false" ht="14.15" hidden="false" customHeight="true" outlineLevel="0" collapsed="false">
      <c r="A35" s="152"/>
      <c r="B35" s="152"/>
      <c r="C35" s="152"/>
      <c r="D35" s="152"/>
      <c r="E35" s="152"/>
      <c r="F35" s="152"/>
      <c r="G35" s="152" t="s">
        <v>140</v>
      </c>
      <c r="H35" s="153" t="n">
        <v>1</v>
      </c>
      <c r="I35" s="152" t="s">
        <v>141</v>
      </c>
      <c r="J35" s="154" t="n">
        <f aca="false">TRUNC(J34*H35,2)</f>
        <v>792.51</v>
      </c>
      <c r="L35" s="68" t="n">
        <f aca="false">IF(AND(A36&lt;&gt;"",A35=""),L34+1,L34)</f>
        <v>2</v>
      </c>
      <c r="M35" s="101" t="str">
        <f aca="false">IF(OR(A35="Insumo",A35="Composição Auxiliar"),J35,"")</f>
        <v/>
      </c>
      <c r="N35" s="102" t="str">
        <f aca="false">IF(ISNUMBER(SEARCH("COM ENCARGOS COMPLEMENTARES",D35)),J35,"")</f>
        <v/>
      </c>
      <c r="O35" s="102" t="str">
        <f aca="false">IF(N35&lt;&gt;"","",M35)</f>
        <v/>
      </c>
      <c r="P35" s="103" t="str">
        <f aca="false">IF(A35="Composição",A34,"")</f>
        <v/>
      </c>
      <c r="Q35" s="102" t="str">
        <f aca="false">IF(P35&lt;&gt;"",SUMIF(L35:L135,L35,N35:N135),"")</f>
        <v/>
      </c>
      <c r="R35" s="102" t="str">
        <f aca="false">IF(P35&lt;&gt;"",SUMIF(L35:L135,L35,O35:O135),"")</f>
        <v/>
      </c>
    </row>
    <row r="36" customFormat="false" ht="14.5" hidden="false" customHeight="false" outlineLevel="0" collapsed="false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L36" s="68" t="n">
        <f aca="false">IF(AND(A37&lt;&gt;"",A36=""),L35+1,L35)</f>
        <v>3</v>
      </c>
      <c r="M36" s="101" t="str">
        <f aca="false">IF(OR(A36="Insumo",A36="Composição Auxiliar"),J36,"")</f>
        <v/>
      </c>
      <c r="N36" s="102" t="str">
        <f aca="false">IF(ISNUMBER(SEARCH("COM ENCARGOS COMPLEMENTARES",D36)),J36,"")</f>
        <v/>
      </c>
      <c r="O36" s="102" t="str">
        <f aca="false">IF(N36&lt;&gt;"","",M36)</f>
        <v/>
      </c>
      <c r="P36" s="103" t="str">
        <f aca="false">IF(A36="Composição",A35,"")</f>
        <v/>
      </c>
      <c r="Q36" s="102" t="str">
        <f aca="false">IF(P36&lt;&gt;"",SUMIF(L36:L136,L36,N36:N136),"")</f>
        <v/>
      </c>
      <c r="R36" s="102" t="str">
        <f aca="false">IF(P36&lt;&gt;"",SUMIF(L36:L136,L36,O36:O136),"")</f>
        <v/>
      </c>
    </row>
    <row r="37" customFormat="false" ht="14" hidden="false" customHeight="true" outlineLevel="0" collapsed="false">
      <c r="A37" s="118" t="s">
        <v>37</v>
      </c>
      <c r="B37" s="119" t="s">
        <v>115</v>
      </c>
      <c r="C37" s="118" t="s">
        <v>116</v>
      </c>
      <c r="D37" s="118" t="s">
        <v>117</v>
      </c>
      <c r="E37" s="118" t="s">
        <v>118</v>
      </c>
      <c r="F37" s="118"/>
      <c r="G37" s="120" t="s">
        <v>119</v>
      </c>
      <c r="H37" s="119" t="s">
        <v>120</v>
      </c>
      <c r="I37" s="119" t="s">
        <v>130</v>
      </c>
      <c r="J37" s="119" t="s">
        <v>131</v>
      </c>
      <c r="L37" s="68" t="n">
        <f aca="false">IF(AND(A38&lt;&gt;"",A37=""),L36+1,L36)</f>
        <v>3</v>
      </c>
      <c r="M37" s="101" t="str">
        <f aca="false">IF(OR(A37="Insumo",A37="Composição Auxiliar"),J37,"")</f>
        <v/>
      </c>
      <c r="N37" s="102" t="str">
        <f aca="false">IF(ISNUMBER(SEARCH("COM ENCARGOS COMPLEMENTARES",D37)),J37,"")</f>
        <v/>
      </c>
      <c r="O37" s="102" t="str">
        <f aca="false">IF(N37&lt;&gt;"","",M37)</f>
        <v/>
      </c>
      <c r="P37" s="103" t="str">
        <f aca="false">IF(A37="Composição",A36,"")</f>
        <v/>
      </c>
      <c r="Q37" s="102" t="str">
        <f aca="false">IF(P37&lt;&gt;"",SUMIF(L37:L137,L37,N37:N137),"")</f>
        <v/>
      </c>
      <c r="R37" s="102" t="str">
        <f aca="false">IF(P37&lt;&gt;"",SUMIF(L37:L137,L37,O37:O137),"")</f>
        <v/>
      </c>
    </row>
    <row r="38" customFormat="false" ht="25" hidden="false" customHeight="true" outlineLevel="0" collapsed="false">
      <c r="A38" s="122" t="s">
        <v>121</v>
      </c>
      <c r="B38" s="55" t="s">
        <v>38</v>
      </c>
      <c r="C38" s="122" t="s">
        <v>153</v>
      </c>
      <c r="D38" s="122" t="s">
        <v>154</v>
      </c>
      <c r="E38" s="122" t="s">
        <v>133</v>
      </c>
      <c r="F38" s="122"/>
      <c r="G38" s="123" t="s">
        <v>155</v>
      </c>
      <c r="H38" s="124" t="n">
        <v>1</v>
      </c>
      <c r="I38" s="125" t="n">
        <f aca="false">SUMIF(L:L,$L38,M:M)</f>
        <v>840.4</v>
      </c>
      <c r="J38" s="125" t="n">
        <f aca="false">TRUNC(H38*I38,2)</f>
        <v>840.4</v>
      </c>
      <c r="L38" s="68" t="n">
        <f aca="false">IF(AND(A39&lt;&gt;"",A38=""),L37+1,L37)</f>
        <v>3</v>
      </c>
      <c r="M38" s="101" t="str">
        <f aca="false">IF(OR(A38="Insumo",A38="Composição Auxiliar"),J38,"")</f>
        <v/>
      </c>
      <c r="N38" s="102" t="str">
        <f aca="false">IF(ISNUMBER(SEARCH("COM ENCARGOS COMPLEMENTARES",D38)),J38,"")</f>
        <v/>
      </c>
      <c r="O38" s="102" t="str">
        <f aca="false">IF(N38&lt;&gt;"","",M38)</f>
        <v/>
      </c>
      <c r="P38" s="103" t="str">
        <f aca="false">IF(A38="Composição",A37,"")</f>
        <v> 1.2.2 </v>
      </c>
      <c r="Q38" s="102" t="n">
        <f aca="false">IF(P38&lt;&gt;"",SUMIF(L38:L138,L38,N38:N138),"")</f>
        <v>0</v>
      </c>
      <c r="R38" s="102" t="n">
        <f aca="false">IF(P38&lt;&gt;"",SUMIF(L38:L138,L38,O38:O138),"")</f>
        <v>840.4</v>
      </c>
    </row>
    <row r="39" customFormat="false" ht="25" hidden="false" customHeight="true" outlineLevel="0" collapsed="false">
      <c r="A39" s="143" t="s">
        <v>128</v>
      </c>
      <c r="B39" s="144" t="s">
        <v>156</v>
      </c>
      <c r="C39" s="143" t="str">
        <f aca="false">VLOOKUP(B39,INSUMOS!$A:$I,2,0)</f>
        <v>Próprio</v>
      </c>
      <c r="D39" s="143" t="str">
        <f aca="false">VLOOKUP(B39,INSUMOS!$A:$I,3,0)</f>
        <v>MOBILIZAÇÃO E DESMOBILIZAÇÃO DE CONTAINER</v>
      </c>
      <c r="E39" s="143" t="str">
        <f aca="false">VLOOKUP(B39,INSUMOS!$A:$I,4,0)</f>
        <v>Material</v>
      </c>
      <c r="F39" s="143"/>
      <c r="G39" s="145" t="str">
        <f aca="false">VLOOKUP(B39,INSUMOS!$A:$I,5,0)</f>
        <v>UN</v>
      </c>
      <c r="H39" s="146" t="n">
        <v>2</v>
      </c>
      <c r="I39" s="147" t="n">
        <f aca="false">VLOOKUP(B39,INSUMOS!$A:$I,8,0)</f>
        <v>420.2</v>
      </c>
      <c r="J39" s="147" t="n">
        <f aca="false">TRUNC(H39*I39,2)</f>
        <v>840.4</v>
      </c>
      <c r="L39" s="68" t="n">
        <f aca="false">IF(AND(A40&lt;&gt;"",A39=""),L38+1,L38)</f>
        <v>3</v>
      </c>
      <c r="M39" s="101" t="n">
        <f aca="false">IF(OR(A39="Insumo",A39="Composição Auxiliar"),J39,"")</f>
        <v>840.4</v>
      </c>
      <c r="N39" s="102" t="str">
        <f aca="false">IF(ISNUMBER(SEARCH("COM ENCARGOS COMPLEMENTARES",D39)),J39,"")</f>
        <v/>
      </c>
      <c r="O39" s="102" t="n">
        <f aca="false">IF(N39&lt;&gt;"","",M39)</f>
        <v>840.4</v>
      </c>
      <c r="P39" s="103" t="str">
        <f aca="false">IF(A39="Composição",A38,"")</f>
        <v/>
      </c>
      <c r="Q39" s="102" t="str">
        <f aca="false">IF(P39&lt;&gt;"",SUMIF(L39:L139,L39,N39:N139),"")</f>
        <v/>
      </c>
      <c r="R39" s="102" t="str">
        <f aca="false">IF(P39&lt;&gt;"",SUMIF(L39:L139,L39,O39:O139),"")</f>
        <v/>
      </c>
    </row>
    <row r="40" customFormat="false" ht="25.5" hidden="false" customHeight="true" outlineLevel="0" collapsed="false">
      <c r="A40" s="149"/>
      <c r="B40" s="149"/>
      <c r="C40" s="149"/>
      <c r="D40" s="149"/>
      <c r="E40" s="149"/>
      <c r="F40" s="150"/>
      <c r="G40" s="149"/>
      <c r="H40" s="150"/>
      <c r="I40" s="149"/>
      <c r="J40" s="150"/>
      <c r="L40" s="68" t="n">
        <f aca="false">IF(AND(A41&lt;&gt;"",A40=""),L39+1,L39)</f>
        <v>3</v>
      </c>
      <c r="M40" s="101" t="str">
        <f aca="false">IF(OR(A40="Insumo",A40="Composição Auxiliar"),J40,"")</f>
        <v/>
      </c>
      <c r="N40" s="102" t="str">
        <f aca="false">IF(ISNUMBER(SEARCH("COM ENCARGOS COMPLEMENTARES",D40)),J40,"")</f>
        <v/>
      </c>
      <c r="O40" s="102" t="str">
        <f aca="false">IF(N40&lt;&gt;"","",M40)</f>
        <v/>
      </c>
      <c r="P40" s="103" t="str">
        <f aca="false">IF(A40="Composição",A39,"")</f>
        <v/>
      </c>
      <c r="Q40" s="102" t="str">
        <f aca="false">IF(P40&lt;&gt;"",SUMIF(L40:L140,L40,N40:N140),"")</f>
        <v/>
      </c>
      <c r="R40" s="102" t="str">
        <f aca="false">IF(P40&lt;&gt;"",SUMIF(L40:L140,L40,O40:O140),"")</f>
        <v/>
      </c>
    </row>
    <row r="41" customFormat="false" ht="25.5" hidden="false" customHeight="true" outlineLevel="0" collapsed="false">
      <c r="A41" s="149"/>
      <c r="B41" s="149"/>
      <c r="C41" s="149"/>
      <c r="D41" s="149"/>
      <c r="E41" s="149"/>
      <c r="F41" s="150"/>
      <c r="G41" s="149"/>
      <c r="H41" s="151" t="s">
        <v>135</v>
      </c>
      <c r="I41" s="151"/>
      <c r="J41" s="150" t="n">
        <f aca="false">TRUNC(SUMIF(L:L,$L41,M:M)*(1+$J$9),2)</f>
        <v>1027.13</v>
      </c>
      <c r="L41" s="68" t="n">
        <f aca="false">IF(AND(A42&lt;&gt;"",A41=""),L40+1,L40)</f>
        <v>3</v>
      </c>
      <c r="M41" s="101" t="str">
        <f aca="false">IF(OR(A41="Insumo",A41="Composição Auxiliar"),J41,"")</f>
        <v/>
      </c>
      <c r="N41" s="102" t="str">
        <f aca="false">IF(ISNUMBER(SEARCH("COM ENCARGOS COMPLEMENTARES",D41)),J41,"")</f>
        <v/>
      </c>
      <c r="O41" s="102" t="str">
        <f aca="false">IF(N41&lt;&gt;"","",M41)</f>
        <v/>
      </c>
      <c r="P41" s="103" t="str">
        <f aca="false">IF(A41="Composição",A40,"")</f>
        <v/>
      </c>
      <c r="Q41" s="102" t="str">
        <f aca="false">IF(P41&lt;&gt;"",SUMIF(L41:L141,L41,N41:N141),"")</f>
        <v/>
      </c>
      <c r="R41" s="102" t="str">
        <f aca="false">IF(P41&lt;&gt;"",SUMIF(L41:L141,L41,O41:O141),"")</f>
        <v/>
      </c>
    </row>
    <row r="42" customFormat="false" ht="14.5" hidden="false" customHeight="false" outlineLevel="0" collapsed="false">
      <c r="A42" s="152"/>
      <c r="B42" s="152"/>
      <c r="C42" s="152"/>
      <c r="D42" s="152"/>
      <c r="E42" s="152"/>
      <c r="F42" s="152"/>
      <c r="G42" s="152" t="s">
        <v>140</v>
      </c>
      <c r="H42" s="153" t="n">
        <v>1</v>
      </c>
      <c r="I42" s="152" t="s">
        <v>141</v>
      </c>
      <c r="J42" s="154" t="n">
        <f aca="false">TRUNC(J41*H42,2)</f>
        <v>1027.13</v>
      </c>
      <c r="L42" s="68" t="n">
        <f aca="false">IF(AND(A43&lt;&gt;"",A42=""),L41+1,L41)</f>
        <v>3</v>
      </c>
      <c r="M42" s="101" t="str">
        <f aca="false">IF(OR(A42="Insumo",A42="Composição Auxiliar"),J42,"")</f>
        <v/>
      </c>
      <c r="N42" s="102" t="str">
        <f aca="false">IF(ISNUMBER(SEARCH("COM ENCARGOS COMPLEMENTARES",D42)),J42,"")</f>
        <v/>
      </c>
      <c r="O42" s="102" t="str">
        <f aca="false">IF(N42&lt;&gt;"","",M42)</f>
        <v/>
      </c>
      <c r="P42" s="103" t="str">
        <f aca="false">IF(A42="Composição",A41,"")</f>
        <v/>
      </c>
      <c r="Q42" s="102" t="str">
        <f aca="false">IF(P42&lt;&gt;"",SUMIF(L42:L142,L42,N42:N142),"")</f>
        <v/>
      </c>
      <c r="R42" s="102" t="str">
        <f aca="false">IF(P42&lt;&gt;"",SUMIF(L42:L142,L42,O42:O142),"")</f>
        <v/>
      </c>
    </row>
    <row r="43" customFormat="false" ht="25.5" hidden="false" customHeight="true" outlineLevel="0" collapsed="false">
      <c r="A43" s="155"/>
      <c r="B43" s="155"/>
      <c r="C43" s="155"/>
      <c r="D43" s="155"/>
      <c r="E43" s="155"/>
      <c r="F43" s="155"/>
      <c r="G43" s="155"/>
      <c r="H43" s="155"/>
      <c r="I43" s="155"/>
      <c r="J43" s="155"/>
      <c r="L43" s="68" t="n">
        <f aca="false">IF(AND(A44&lt;&gt;"",A43=""),L42+1,L42)</f>
        <v>4</v>
      </c>
      <c r="M43" s="101" t="str">
        <f aca="false">IF(OR(A43="Insumo",A43="Composição Auxiliar"),J43,"")</f>
        <v/>
      </c>
      <c r="N43" s="102" t="str">
        <f aca="false">IF(ISNUMBER(SEARCH("COM ENCARGOS COMPLEMENTARES",D43)),J43,"")</f>
        <v/>
      </c>
      <c r="O43" s="102" t="str">
        <f aca="false">IF(N43&lt;&gt;"","",M43)</f>
        <v/>
      </c>
      <c r="P43" s="103" t="str">
        <f aca="false">IF(A43="Composição",A42,"")</f>
        <v/>
      </c>
      <c r="Q43" s="102" t="str">
        <f aca="false">IF(P43&lt;&gt;"",SUMIF(L43:L143,L43,N43:N143),"")</f>
        <v/>
      </c>
      <c r="R43" s="102" t="str">
        <f aca="false">IF(P43&lt;&gt;"",SUMIF(L43:L143,L43,O43:O143),"")</f>
        <v/>
      </c>
    </row>
    <row r="44" customFormat="false" ht="25.5" hidden="false" customHeight="true" outlineLevel="0" collapsed="false">
      <c r="A44" s="97" t="s">
        <v>39</v>
      </c>
      <c r="B44" s="97"/>
      <c r="C44" s="97"/>
      <c r="D44" s="97" t="s">
        <v>40</v>
      </c>
      <c r="E44" s="97"/>
      <c r="F44" s="97"/>
      <c r="G44" s="97"/>
      <c r="H44" s="98"/>
      <c r="I44" s="97"/>
      <c r="J44" s="99"/>
      <c r="L44" s="68" t="n">
        <f aca="false">IF(AND(A45&lt;&gt;"",A44=""),L43+1,L43)</f>
        <v>4</v>
      </c>
      <c r="M44" s="101" t="str">
        <f aca="false">IF(OR(A44="Insumo",A44="Composição Auxiliar"),J44,"")</f>
        <v/>
      </c>
      <c r="N44" s="102" t="str">
        <f aca="false">IF(ISNUMBER(SEARCH("COM ENCARGOS COMPLEMENTARES",D44)),J44,"")</f>
        <v/>
      </c>
      <c r="O44" s="102" t="str">
        <f aca="false">IF(N44&lt;&gt;"","",M44)</f>
        <v/>
      </c>
      <c r="P44" s="103" t="str">
        <f aca="false">IF(A44="Composição",A43,"")</f>
        <v/>
      </c>
      <c r="Q44" s="102" t="str">
        <f aca="false">IF(P44&lt;&gt;"",SUMIF(L44:L144,L44,N44:N144),"")</f>
        <v/>
      </c>
      <c r="R44" s="102" t="str">
        <f aca="false">IF(P44&lt;&gt;"",SUMIF(L44:L144,L44,O44:O144),"")</f>
        <v/>
      </c>
    </row>
    <row r="45" customFormat="false" ht="25.5" hidden="false" customHeight="true" outlineLevel="0" collapsed="false">
      <c r="A45" s="118" t="s">
        <v>41</v>
      </c>
      <c r="B45" s="119" t="s">
        <v>115</v>
      </c>
      <c r="C45" s="118" t="s">
        <v>116</v>
      </c>
      <c r="D45" s="118" t="s">
        <v>117</v>
      </c>
      <c r="E45" s="118" t="s">
        <v>118</v>
      </c>
      <c r="F45" s="118"/>
      <c r="G45" s="120" t="s">
        <v>119</v>
      </c>
      <c r="H45" s="119" t="s">
        <v>120</v>
      </c>
      <c r="I45" s="119" t="s">
        <v>130</v>
      </c>
      <c r="J45" s="119" t="s">
        <v>131</v>
      </c>
      <c r="L45" s="68" t="n">
        <f aca="false">IF(AND(A46&lt;&gt;"",A45=""),L44+1,L44)</f>
        <v>4</v>
      </c>
      <c r="M45" s="101" t="str">
        <f aca="false">IF(OR(A45="Insumo",A45="Composição Auxiliar"),J45,"")</f>
        <v/>
      </c>
      <c r="N45" s="102" t="str">
        <f aca="false">IF(ISNUMBER(SEARCH("COM ENCARGOS COMPLEMENTARES",D45)),J45,"")</f>
        <v/>
      </c>
      <c r="O45" s="102" t="str">
        <f aca="false">IF(N45&lt;&gt;"","",M45)</f>
        <v/>
      </c>
      <c r="P45" s="103" t="str">
        <f aca="false">IF(A45="Composição",A44,"")</f>
        <v/>
      </c>
      <c r="Q45" s="102" t="str">
        <f aca="false">IF(P45&lt;&gt;"",SUMIF(L45:L145,L45,N45:N145),"")</f>
        <v/>
      </c>
      <c r="R45" s="102" t="str">
        <f aca="false">IF(P45&lt;&gt;"",SUMIF(L45:L145,L45,O45:O145),"")</f>
        <v/>
      </c>
    </row>
    <row r="46" customFormat="false" ht="25.5" hidden="false" customHeight="true" outlineLevel="0" collapsed="false">
      <c r="A46" s="122" t="s">
        <v>121</v>
      </c>
      <c r="B46" s="55" t="s">
        <v>42</v>
      </c>
      <c r="C46" s="122" t="s">
        <v>122</v>
      </c>
      <c r="D46" s="122" t="s">
        <v>157</v>
      </c>
      <c r="E46" s="122" t="s">
        <v>158</v>
      </c>
      <c r="F46" s="122"/>
      <c r="G46" s="123" t="s">
        <v>155</v>
      </c>
      <c r="H46" s="124" t="n">
        <v>1</v>
      </c>
      <c r="I46" s="125" t="n">
        <f aca="false">SUMIF(L:L,$L46,M:M)</f>
        <v>95.15</v>
      </c>
      <c r="J46" s="125" t="n">
        <f aca="false">TRUNC(H46*I46,2)</f>
        <v>95.15</v>
      </c>
      <c r="L46" s="68" t="n">
        <f aca="false">IF(AND(A47&lt;&gt;"",A46=""),L45+1,L45)</f>
        <v>4</v>
      </c>
      <c r="M46" s="101" t="str">
        <f aca="false">IF(OR(A46="Insumo",A46="Composição Auxiliar"),J46,"")</f>
        <v/>
      </c>
      <c r="N46" s="102" t="str">
        <f aca="false">IF(ISNUMBER(SEARCH("COM ENCARGOS COMPLEMENTARES",D46)),J46,"")</f>
        <v/>
      </c>
      <c r="O46" s="102" t="str">
        <f aca="false">IF(N46&lt;&gt;"","",M46)</f>
        <v/>
      </c>
      <c r="P46" s="103" t="str">
        <f aca="false">IF(A46="Composição",A45,"")</f>
        <v> 1.3.1 </v>
      </c>
      <c r="Q46" s="102" t="n">
        <f aca="false">IF(P46&lt;&gt;"",SUMIF(L46:L146,L46,N46:N146),"")</f>
        <v>53.92</v>
      </c>
      <c r="R46" s="102" t="n">
        <f aca="false">IF(P46&lt;&gt;"",SUMIF(L46:L146,L46,O46:O146),"")</f>
        <v>41.23</v>
      </c>
    </row>
    <row r="47" customFormat="false" ht="14.25" hidden="false" customHeight="true" outlineLevel="0" collapsed="false">
      <c r="A47" s="129" t="s">
        <v>126</v>
      </c>
      <c r="B47" s="130" t="s">
        <v>159</v>
      </c>
      <c r="C47" s="129" t="s">
        <v>122</v>
      </c>
      <c r="D47" s="129" t="s">
        <v>160</v>
      </c>
      <c r="E47" s="129" t="s">
        <v>161</v>
      </c>
      <c r="F47" s="129"/>
      <c r="G47" s="131" t="s">
        <v>162</v>
      </c>
      <c r="H47" s="132" t="n">
        <v>1.29</v>
      </c>
      <c r="I47" s="133" t="n">
        <f aca="false">SUMIFS('ANALÍTICA AUXILIARES'!J:J,'ANALÍTICA AUXILIARES'!A:A,"Composição",'ANALÍTICA AUXILIARES'!B:B,$B47)</f>
        <v>21.49</v>
      </c>
      <c r="J47" s="133" t="n">
        <f aca="false">TRUNC(H47*I47,2)</f>
        <v>27.72</v>
      </c>
      <c r="L47" s="68" t="n">
        <f aca="false">IF(AND(A48&lt;&gt;"",A47=""),L46+1,L46)</f>
        <v>4</v>
      </c>
      <c r="M47" s="101" t="n">
        <f aca="false">IF(OR(A47="Insumo",A47="Composição Auxiliar"),J47,"")</f>
        <v>27.72</v>
      </c>
      <c r="N47" s="102" t="str">
        <f aca="false">IF(ISNUMBER(SEARCH("COM ENCARGOS COMPLEMENTARES",D47)),J47,"")</f>
        <v/>
      </c>
      <c r="O47" s="102" t="n">
        <f aca="false">IF(N47&lt;&gt;"","",M47)</f>
        <v>27.72</v>
      </c>
      <c r="P47" s="103" t="str">
        <f aca="false">IF(A47="Composição",A46,"")</f>
        <v/>
      </c>
      <c r="Q47" s="102" t="str">
        <f aca="false">IF(P47&lt;&gt;"",SUMIF(L47:L147,L47,N47:N147),"")</f>
        <v/>
      </c>
      <c r="R47" s="102" t="str">
        <f aca="false">IF(P47&lt;&gt;"",SUMIF(L47:L147,L47,O47:O147),"")</f>
        <v/>
      </c>
    </row>
    <row r="48" customFormat="false" ht="25.5" hidden="false" customHeight="true" outlineLevel="0" collapsed="false">
      <c r="A48" s="129" t="s">
        <v>126</v>
      </c>
      <c r="B48" s="130" t="s">
        <v>163</v>
      </c>
      <c r="C48" s="129" t="s">
        <v>122</v>
      </c>
      <c r="D48" s="129" t="s">
        <v>164</v>
      </c>
      <c r="E48" s="129" t="s">
        <v>161</v>
      </c>
      <c r="F48" s="129"/>
      <c r="G48" s="131" t="s">
        <v>165</v>
      </c>
      <c r="H48" s="132" t="n">
        <v>0.587</v>
      </c>
      <c r="I48" s="133" t="n">
        <f aca="false">SUMIFS('ANALÍTICA AUXILIARES'!J:J,'ANALÍTICA AUXILIARES'!A:A,"Composição",'ANALÍTICA AUXILIARES'!B:B,$B48)</f>
        <v>23.02</v>
      </c>
      <c r="J48" s="133" t="n">
        <f aca="false">TRUNC(H48*I48,2)</f>
        <v>13.51</v>
      </c>
      <c r="L48" s="68" t="n">
        <f aca="false">IF(AND(A49&lt;&gt;"",A48=""),L47+1,L47)</f>
        <v>4</v>
      </c>
      <c r="M48" s="101" t="n">
        <f aca="false">IF(OR(A48="Insumo",A48="Composição Auxiliar"),J48,"")</f>
        <v>13.51</v>
      </c>
      <c r="N48" s="102" t="str">
        <f aca="false">IF(ISNUMBER(SEARCH("COM ENCARGOS COMPLEMENTARES",D48)),J48,"")</f>
        <v/>
      </c>
      <c r="O48" s="102" t="n">
        <f aca="false">IF(N48&lt;&gt;"","",M48)</f>
        <v>13.51</v>
      </c>
      <c r="P48" s="103" t="str">
        <f aca="false">IF(A48="Composição",A47,"")</f>
        <v/>
      </c>
      <c r="Q48" s="102" t="str">
        <f aca="false">IF(P48&lt;&gt;"",SUMIF(L48:L148,L48,N48:N148),"")</f>
        <v/>
      </c>
      <c r="R48" s="102" t="str">
        <f aca="false">IF(P48&lt;&gt;"",SUMIF(L48:L148,L48,O48:O148),"")</f>
        <v/>
      </c>
    </row>
    <row r="49" customFormat="false" ht="25.5" hidden="false" customHeight="true" outlineLevel="0" collapsed="false">
      <c r="A49" s="129" t="s">
        <v>126</v>
      </c>
      <c r="B49" s="130" t="s">
        <v>166</v>
      </c>
      <c r="C49" s="129" t="s">
        <v>122</v>
      </c>
      <c r="D49" s="129" t="s">
        <v>167</v>
      </c>
      <c r="E49" s="129" t="s">
        <v>124</v>
      </c>
      <c r="F49" s="129"/>
      <c r="G49" s="131" t="s">
        <v>125</v>
      </c>
      <c r="H49" s="132" t="n">
        <v>0.293</v>
      </c>
      <c r="I49" s="133" t="n">
        <f aca="false">SUMIFS('ANALÍTICA AUXILIARES'!J:J,'ANALÍTICA AUXILIARES'!A:A,"Composição",'ANALÍTICA AUXILIARES'!B:B,$B49)</f>
        <v>18.53</v>
      </c>
      <c r="J49" s="133" t="n">
        <f aca="false">TRUNC(H49*I49,2)</f>
        <v>5.42</v>
      </c>
      <c r="L49" s="68" t="n">
        <f aca="false">IF(AND(A50&lt;&gt;"",A49=""),L48+1,L48)</f>
        <v>4</v>
      </c>
      <c r="M49" s="101" t="n">
        <f aca="false">IF(OR(A49="Insumo",A49="Composição Auxiliar"),J49,"")</f>
        <v>5.42</v>
      </c>
      <c r="N49" s="102" t="n">
        <f aca="false">IF(ISNUMBER(SEARCH("COM ENCARGOS COMPLEMENTARES",D49)),J49,"")</f>
        <v>5.42</v>
      </c>
      <c r="O49" s="102" t="str">
        <f aca="false">IF(N49&lt;&gt;"","",M49)</f>
        <v/>
      </c>
      <c r="P49" s="103" t="str">
        <f aca="false">IF(A49="Composição",A48,"")</f>
        <v/>
      </c>
      <c r="Q49" s="102" t="str">
        <f aca="false">IF(P49&lt;&gt;"",SUMIF(L49:L149,L49,N49:N149),"")</f>
        <v/>
      </c>
      <c r="R49" s="102" t="str">
        <f aca="false">IF(P49&lt;&gt;"",SUMIF(L49:L149,L49,O49:O149),"")</f>
        <v/>
      </c>
    </row>
    <row r="50" customFormat="false" ht="25" hidden="false" customHeight="true" outlineLevel="0" collapsed="false">
      <c r="A50" s="129" t="s">
        <v>126</v>
      </c>
      <c r="B50" s="130" t="s">
        <v>168</v>
      </c>
      <c r="C50" s="129" t="s">
        <v>122</v>
      </c>
      <c r="D50" s="129" t="s">
        <v>169</v>
      </c>
      <c r="E50" s="129" t="s">
        <v>124</v>
      </c>
      <c r="F50" s="129"/>
      <c r="G50" s="131" t="s">
        <v>125</v>
      </c>
      <c r="H50" s="132" t="n">
        <v>1.877</v>
      </c>
      <c r="I50" s="133" t="n">
        <f aca="false">SUMIFS('ANALÍTICA AUXILIARES'!J:J,'ANALÍTICA AUXILIARES'!A:A,"Composição",'ANALÍTICA AUXILIARES'!B:B,$B50)</f>
        <v>25.84</v>
      </c>
      <c r="J50" s="133" t="n">
        <f aca="false">TRUNC(H50*I50,2)</f>
        <v>48.5</v>
      </c>
      <c r="L50" s="68" t="n">
        <f aca="false">IF(AND(A51&lt;&gt;"",A50=""),L49+1,L49)</f>
        <v>4</v>
      </c>
      <c r="M50" s="101" t="n">
        <f aca="false">IF(OR(A50="Insumo",A50="Composição Auxiliar"),J50,"")</f>
        <v>48.5</v>
      </c>
      <c r="N50" s="102" t="n">
        <f aca="false">IF(ISNUMBER(SEARCH("COM ENCARGOS COMPLEMENTARES",D50)),J50,"")</f>
        <v>48.5</v>
      </c>
      <c r="O50" s="102" t="str">
        <f aca="false">IF(N50&lt;&gt;"","",M50)</f>
        <v/>
      </c>
      <c r="P50" s="103" t="str">
        <f aca="false">IF(A50="Composição",A49,"")</f>
        <v/>
      </c>
      <c r="Q50" s="102" t="str">
        <f aca="false">IF(P50&lt;&gt;"",SUMIF(L50:L150,L50,N50:N150),"")</f>
        <v/>
      </c>
      <c r="R50" s="102" t="str">
        <f aca="false">IF(P50&lt;&gt;"",SUMIF(L50:L150,L50,O50:O150),"")</f>
        <v/>
      </c>
    </row>
    <row r="51" customFormat="false" ht="14.15" hidden="false" customHeight="true" outlineLevel="0" collapsed="false">
      <c r="A51" s="149"/>
      <c r="B51" s="149"/>
      <c r="C51" s="149"/>
      <c r="D51" s="149"/>
      <c r="E51" s="149"/>
      <c r="F51" s="150"/>
      <c r="G51" s="149"/>
      <c r="H51" s="150"/>
      <c r="I51" s="149"/>
      <c r="J51" s="150"/>
      <c r="L51" s="68" t="n">
        <f aca="false">IF(AND(A52&lt;&gt;"",A51=""),L50+1,L50)</f>
        <v>4</v>
      </c>
      <c r="M51" s="101" t="str">
        <f aca="false">IF(OR(A51="Insumo",A51="Composição Auxiliar"),J51,"")</f>
        <v/>
      </c>
      <c r="N51" s="102" t="str">
        <f aca="false">IF(ISNUMBER(SEARCH("COM ENCARGOS COMPLEMENTARES",D51)),J51,"")</f>
        <v/>
      </c>
      <c r="O51" s="102" t="str">
        <f aca="false">IF(N51&lt;&gt;"","",M51)</f>
        <v/>
      </c>
      <c r="P51" s="103" t="str">
        <f aca="false">IF(A51="Composição",A50,"")</f>
        <v/>
      </c>
      <c r="Q51" s="102" t="str">
        <f aca="false">IF(P51&lt;&gt;"",SUMIF(L51:L151,L51,N51:N151),"")</f>
        <v/>
      </c>
      <c r="R51" s="102" t="str">
        <f aca="false">IF(P51&lt;&gt;"",SUMIF(L51:L151,L51,O51:O151),"")</f>
        <v/>
      </c>
    </row>
    <row r="52" customFormat="false" ht="25.5" hidden="false" customHeight="true" outlineLevel="0" collapsed="false">
      <c r="A52" s="149"/>
      <c r="B52" s="149"/>
      <c r="C52" s="149"/>
      <c r="D52" s="149"/>
      <c r="E52" s="149"/>
      <c r="F52" s="150"/>
      <c r="G52" s="149"/>
      <c r="H52" s="151" t="s">
        <v>135</v>
      </c>
      <c r="I52" s="151"/>
      <c r="J52" s="150" t="n">
        <f aca="false">TRUNC(SUMIF(L:L,$L52,M:M)*(1+$J$9),2)</f>
        <v>116.29</v>
      </c>
      <c r="L52" s="68" t="n">
        <f aca="false">IF(AND(A53&lt;&gt;"",A52=""),L51+1,L51)</f>
        <v>4</v>
      </c>
      <c r="M52" s="101" t="str">
        <f aca="false">IF(OR(A52="Insumo",A52="Composição Auxiliar"),J52,"")</f>
        <v/>
      </c>
      <c r="N52" s="102" t="str">
        <f aca="false">IF(ISNUMBER(SEARCH("COM ENCARGOS COMPLEMENTARES",D52)),J52,"")</f>
        <v/>
      </c>
      <c r="O52" s="102" t="str">
        <f aca="false">IF(N52&lt;&gt;"","",M52)</f>
        <v/>
      </c>
      <c r="P52" s="103" t="str">
        <f aca="false">IF(A52="Composição",A51,"")</f>
        <v/>
      </c>
      <c r="Q52" s="102" t="str">
        <f aca="false">IF(P52&lt;&gt;"",SUMIF(L52:L152,L52,N52:N152),"")</f>
        <v/>
      </c>
      <c r="R52" s="102" t="str">
        <f aca="false">IF(P52&lt;&gt;"",SUMIF(L52:L152,L52,O52:O152),"")</f>
        <v/>
      </c>
    </row>
    <row r="53" customFormat="false" ht="25.5" hidden="false" customHeight="true" outlineLevel="0" collapsed="false">
      <c r="A53" s="152"/>
      <c r="B53" s="152"/>
      <c r="C53" s="152"/>
      <c r="D53" s="152"/>
      <c r="E53" s="152"/>
      <c r="F53" s="152"/>
      <c r="G53" s="152" t="s">
        <v>140</v>
      </c>
      <c r="H53" s="153" t="n">
        <v>4</v>
      </c>
      <c r="I53" s="152" t="s">
        <v>141</v>
      </c>
      <c r="J53" s="154" t="n">
        <f aca="false">TRUNC(J52*H53,2)</f>
        <v>465.16</v>
      </c>
      <c r="L53" s="68" t="n">
        <f aca="false">IF(AND(A54&lt;&gt;"",A53=""),L52+1,L52)</f>
        <v>4</v>
      </c>
      <c r="M53" s="101" t="str">
        <f aca="false">IF(OR(A53="Insumo",A53="Composição Auxiliar"),J53,"")</f>
        <v/>
      </c>
      <c r="N53" s="102" t="str">
        <f aca="false">IF(ISNUMBER(SEARCH("COM ENCARGOS COMPLEMENTARES",D53)),J53,"")</f>
        <v/>
      </c>
      <c r="O53" s="102" t="str">
        <f aca="false">IF(N53&lt;&gt;"","",M53)</f>
        <v/>
      </c>
      <c r="P53" s="103" t="str">
        <f aca="false">IF(A53="Composição",A52,"")</f>
        <v/>
      </c>
      <c r="Q53" s="102" t="str">
        <f aca="false">IF(P53&lt;&gt;"",SUMIF(L53:L153,L53,N53:N153),"")</f>
        <v/>
      </c>
      <c r="R53" s="102" t="str">
        <f aca="false">IF(P53&lt;&gt;"",SUMIF(L53:L153,L53,O53:O153),"")</f>
        <v/>
      </c>
    </row>
    <row r="54" customFormat="false" ht="25.5" hidden="false" customHeight="true" outlineLevel="0" collapsed="false">
      <c r="A54" s="155"/>
      <c r="B54" s="155"/>
      <c r="C54" s="155"/>
      <c r="D54" s="155"/>
      <c r="E54" s="155"/>
      <c r="F54" s="155"/>
      <c r="G54" s="155"/>
      <c r="H54" s="155"/>
      <c r="I54" s="155"/>
      <c r="J54" s="155"/>
      <c r="L54" s="68" t="n">
        <f aca="false">IF(AND(A55&lt;&gt;"",A54=""),L53+1,L53)</f>
        <v>5</v>
      </c>
      <c r="M54" s="101" t="str">
        <f aca="false">IF(OR(A54="Insumo",A54="Composição Auxiliar"),J54,"")</f>
        <v/>
      </c>
      <c r="N54" s="102" t="str">
        <f aca="false">IF(ISNUMBER(SEARCH("COM ENCARGOS COMPLEMENTARES",D54)),J54,"")</f>
        <v/>
      </c>
      <c r="O54" s="102" t="str">
        <f aca="false">IF(N54&lt;&gt;"","",M54)</f>
        <v/>
      </c>
      <c r="P54" s="103" t="str">
        <f aca="false">IF(A54="Composição",A53,"")</f>
        <v/>
      </c>
      <c r="Q54" s="102" t="str">
        <f aca="false">IF(P54&lt;&gt;"",SUMIF(L54:L154,L54,N54:N154),"")</f>
        <v/>
      </c>
      <c r="R54" s="102" t="str">
        <f aca="false">IF(P54&lt;&gt;"",SUMIF(L54:L154,L54,O54:O154),"")</f>
        <v/>
      </c>
    </row>
    <row r="55" customFormat="false" ht="25" hidden="false" customHeight="true" outlineLevel="0" collapsed="false">
      <c r="A55" s="97" t="s">
        <v>43</v>
      </c>
      <c r="B55" s="97"/>
      <c r="C55" s="97"/>
      <c r="D55" s="97" t="s">
        <v>44</v>
      </c>
      <c r="E55" s="97"/>
      <c r="F55" s="97"/>
      <c r="G55" s="97"/>
      <c r="H55" s="98"/>
      <c r="I55" s="97"/>
      <c r="J55" s="99"/>
      <c r="L55" s="68" t="n">
        <f aca="false">IF(AND(A56&lt;&gt;"",A55=""),L54+1,L54)</f>
        <v>5</v>
      </c>
      <c r="M55" s="101" t="str">
        <f aca="false">IF(OR(A55="Insumo",A55="Composição Auxiliar"),J55,"")</f>
        <v/>
      </c>
      <c r="N55" s="102" t="str">
        <f aca="false">IF(ISNUMBER(SEARCH("COM ENCARGOS COMPLEMENTARES",D55)),J55,"")</f>
        <v/>
      </c>
      <c r="O55" s="102" t="str">
        <f aca="false">IF(N55&lt;&gt;"","",M55)</f>
        <v/>
      </c>
      <c r="P55" s="103" t="str">
        <f aca="false">IF(A55="Composição",A54,"")</f>
        <v/>
      </c>
      <c r="Q55" s="102" t="str">
        <f aca="false">IF(P55&lt;&gt;"",SUMIF(L55:L155,L55,N55:N155),"")</f>
        <v/>
      </c>
      <c r="R55" s="102" t="str">
        <f aca="false">IF(P55&lt;&gt;"",SUMIF(L55:L155,L55,O55:O155),"")</f>
        <v/>
      </c>
    </row>
    <row r="56" customFormat="false" ht="14" hidden="false" customHeight="false" outlineLevel="0" collapsed="false">
      <c r="A56" s="97" t="s">
        <v>45</v>
      </c>
      <c r="B56" s="97"/>
      <c r="C56" s="97"/>
      <c r="D56" s="97" t="s">
        <v>46</v>
      </c>
      <c r="E56" s="97"/>
      <c r="F56" s="97"/>
      <c r="G56" s="97"/>
      <c r="H56" s="98"/>
      <c r="I56" s="97"/>
      <c r="J56" s="99"/>
      <c r="L56" s="68" t="n">
        <f aca="false">IF(AND(A57&lt;&gt;"",A56=""),L55+1,L55)</f>
        <v>5</v>
      </c>
      <c r="M56" s="101" t="str">
        <f aca="false">IF(OR(A56="Insumo",A56="Composição Auxiliar"),J56,"")</f>
        <v/>
      </c>
      <c r="N56" s="102" t="str">
        <f aca="false">IF(ISNUMBER(SEARCH("COM ENCARGOS COMPLEMENTARES",D56)),J56,"")</f>
        <v/>
      </c>
      <c r="O56" s="102" t="str">
        <f aca="false">IF(N56&lt;&gt;"","",M56)</f>
        <v/>
      </c>
      <c r="P56" s="103" t="str">
        <f aca="false">IF(A56="Composição",A55,"")</f>
        <v/>
      </c>
      <c r="Q56" s="102" t="str">
        <f aca="false">IF(P56&lt;&gt;"",SUMIF(L56:L156,L56,N56:N156),"")</f>
        <v/>
      </c>
      <c r="R56" s="102" t="str">
        <f aca="false">IF(P56&lt;&gt;"",SUMIF(L56:L156,L56,O56:O156),"")</f>
        <v/>
      </c>
    </row>
    <row r="57" customFormat="false" ht="14" hidden="false" customHeight="true" outlineLevel="0" collapsed="false">
      <c r="A57" s="118" t="s">
        <v>47</v>
      </c>
      <c r="B57" s="119" t="s">
        <v>115</v>
      </c>
      <c r="C57" s="118" t="s">
        <v>116</v>
      </c>
      <c r="D57" s="118" t="s">
        <v>117</v>
      </c>
      <c r="E57" s="118" t="s">
        <v>118</v>
      </c>
      <c r="F57" s="118"/>
      <c r="G57" s="120" t="s">
        <v>119</v>
      </c>
      <c r="H57" s="119" t="s">
        <v>120</v>
      </c>
      <c r="I57" s="119" t="s">
        <v>130</v>
      </c>
      <c r="J57" s="119" t="s">
        <v>131</v>
      </c>
      <c r="L57" s="68" t="n">
        <f aca="false">IF(AND(A58&lt;&gt;"",A57=""),L56+1,L56)</f>
        <v>5</v>
      </c>
      <c r="M57" s="101" t="str">
        <f aca="false">IF(OR(A57="Insumo",A57="Composição Auxiliar"),J57,"")</f>
        <v/>
      </c>
      <c r="N57" s="102" t="str">
        <f aca="false">IF(ISNUMBER(SEARCH("COM ENCARGOS COMPLEMENTARES",D57)),J57,"")</f>
        <v/>
      </c>
      <c r="O57" s="102" t="str">
        <f aca="false">IF(N57&lt;&gt;"","",M57)</f>
        <v/>
      </c>
      <c r="P57" s="103" t="str">
        <f aca="false">IF(A57="Composição",A56,"")</f>
        <v/>
      </c>
      <c r="Q57" s="102" t="str">
        <f aca="false">IF(P57&lt;&gt;"",SUMIF(L57:L157,L57,N57:N157),"")</f>
        <v/>
      </c>
      <c r="R57" s="102" t="str">
        <f aca="false">IF(P57&lt;&gt;"",SUMIF(L57:L157,L57,O57:O157),"")</f>
        <v/>
      </c>
    </row>
    <row r="58" customFormat="false" ht="14.25" hidden="false" customHeight="true" outlineLevel="0" collapsed="false">
      <c r="A58" s="122" t="s">
        <v>121</v>
      </c>
      <c r="B58" s="55" t="s">
        <v>48</v>
      </c>
      <c r="C58" s="122" t="s">
        <v>153</v>
      </c>
      <c r="D58" s="122" t="s">
        <v>46</v>
      </c>
      <c r="E58" s="122" t="s">
        <v>170</v>
      </c>
      <c r="F58" s="122"/>
      <c r="G58" s="123" t="s">
        <v>171</v>
      </c>
      <c r="H58" s="124" t="n">
        <v>1</v>
      </c>
      <c r="I58" s="125" t="n">
        <f aca="false">SUMIF(L:L,$L58,M:M)</f>
        <v>3197.92</v>
      </c>
      <c r="J58" s="125" t="n">
        <f aca="false">TRUNC(H58*I58,2)</f>
        <v>3197.92</v>
      </c>
      <c r="L58" s="68" t="n">
        <f aca="false">IF(AND(A59&lt;&gt;"",A58=""),L57+1,L57)</f>
        <v>5</v>
      </c>
      <c r="M58" s="101" t="str">
        <f aca="false">IF(OR(A58="Insumo",A58="Composição Auxiliar"),J58,"")</f>
        <v/>
      </c>
      <c r="N58" s="102" t="str">
        <f aca="false">IF(ISNUMBER(SEARCH("COM ENCARGOS COMPLEMENTARES",D58)),J58,"")</f>
        <v/>
      </c>
      <c r="O58" s="102" t="str">
        <f aca="false">IF(N58&lt;&gt;"","",M58)</f>
        <v/>
      </c>
      <c r="P58" s="103" t="str">
        <f aca="false">IF(A58="Composição",A57,"")</f>
        <v> 2.1.1 </v>
      </c>
      <c r="Q58" s="102" t="n">
        <f aca="false">IF(P58&lt;&gt;"",SUMIF(L58:L158,L58,N58:N158),"")</f>
        <v>2875.2</v>
      </c>
      <c r="R58" s="102" t="n">
        <f aca="false">IF(P58&lt;&gt;"",SUMIF(L58:L158,L58,O58:O158),"")</f>
        <v>322.72</v>
      </c>
    </row>
    <row r="59" customFormat="false" ht="14.15" hidden="false" customHeight="true" outlineLevel="0" collapsed="false">
      <c r="A59" s="129" t="s">
        <v>126</v>
      </c>
      <c r="B59" s="130" t="s">
        <v>98</v>
      </c>
      <c r="C59" s="129" t="s">
        <v>122</v>
      </c>
      <c r="D59" s="129" t="s">
        <v>172</v>
      </c>
      <c r="E59" s="129" t="s">
        <v>124</v>
      </c>
      <c r="F59" s="129"/>
      <c r="G59" s="131" t="s">
        <v>125</v>
      </c>
      <c r="H59" s="132" t="n">
        <v>24</v>
      </c>
      <c r="I59" s="133" t="n">
        <f aca="false">SUMIFS('ANALÍTICA AUXILIARES'!J:J,'ANALÍTICA AUXILIARES'!A:A,"Composição",'ANALÍTICA AUXILIARES'!B:B,$B59)</f>
        <v>111.28</v>
      </c>
      <c r="J59" s="133" t="n">
        <f aca="false">TRUNC(H59*I59,2)</f>
        <v>2670.72</v>
      </c>
      <c r="L59" s="68" t="n">
        <f aca="false">IF(AND(A60&lt;&gt;"",A59=""),L58+1,L58)</f>
        <v>5</v>
      </c>
      <c r="M59" s="101" t="n">
        <f aca="false">IF(OR(A59="Insumo",A59="Composição Auxiliar"),J59,"")</f>
        <v>2670.72</v>
      </c>
      <c r="N59" s="102" t="n">
        <f aca="false">IF(ISNUMBER(SEARCH("COM ENCARGOS COMPLEMENTARES",D59)),J59,"")</f>
        <v>2670.72</v>
      </c>
      <c r="O59" s="102" t="str">
        <f aca="false">IF(N59&lt;&gt;"","",M59)</f>
        <v/>
      </c>
      <c r="P59" s="103" t="str">
        <f aca="false">IF(A59="Composição",A58,"")</f>
        <v/>
      </c>
      <c r="Q59" s="102" t="str">
        <f aca="false">IF(P59&lt;&gt;"",SUMIF(L59:L159,L59,N59:N159),"")</f>
        <v/>
      </c>
      <c r="R59" s="102" t="str">
        <f aca="false">IF(P59&lt;&gt;"",SUMIF(L59:L159,L59,O59:O159),"")</f>
        <v/>
      </c>
    </row>
    <row r="60" customFormat="false" ht="25" hidden="false" customHeight="true" outlineLevel="0" collapsed="false">
      <c r="A60" s="129" t="s">
        <v>126</v>
      </c>
      <c r="B60" s="130" t="s">
        <v>173</v>
      </c>
      <c r="C60" s="129" t="s">
        <v>122</v>
      </c>
      <c r="D60" s="129" t="s">
        <v>174</v>
      </c>
      <c r="E60" s="129" t="s">
        <v>124</v>
      </c>
      <c r="F60" s="129"/>
      <c r="G60" s="131" t="s">
        <v>125</v>
      </c>
      <c r="H60" s="132" t="n">
        <v>12</v>
      </c>
      <c r="I60" s="133" t="n">
        <f aca="false">SUMIFS('ANALÍTICA AUXILIARES'!J:J,'ANALÍTICA AUXILIARES'!A:A,"Composição",'ANALÍTICA AUXILIARES'!B:B,$B60)</f>
        <v>17.04</v>
      </c>
      <c r="J60" s="133" t="n">
        <f aca="false">TRUNC(H60*I60,2)</f>
        <v>204.48</v>
      </c>
      <c r="L60" s="68" t="n">
        <f aca="false">IF(AND(A61&lt;&gt;"",A60=""),L59+1,L59)</f>
        <v>5</v>
      </c>
      <c r="M60" s="101" t="n">
        <f aca="false">IF(OR(A60="Insumo",A60="Composição Auxiliar"),J60,"")</f>
        <v>204.48</v>
      </c>
      <c r="N60" s="102" t="n">
        <f aca="false">IF(ISNUMBER(SEARCH("COM ENCARGOS COMPLEMENTARES",D60)),J60,"")</f>
        <v>204.48</v>
      </c>
      <c r="O60" s="102" t="str">
        <f aca="false">IF(N60&lt;&gt;"","",M60)</f>
        <v/>
      </c>
      <c r="P60" s="103" t="str">
        <f aca="false">IF(A60="Composição",A59,"")</f>
        <v/>
      </c>
      <c r="Q60" s="102" t="str">
        <f aca="false">IF(P60&lt;&gt;"",SUMIF(L60:L160,L60,N60:N160),"")</f>
        <v/>
      </c>
      <c r="R60" s="102" t="str">
        <f aca="false">IF(P60&lt;&gt;"",SUMIF(L60:L160,L60,O60:O160),"")</f>
        <v/>
      </c>
    </row>
    <row r="61" customFormat="false" ht="25.5" hidden="false" customHeight="true" outlineLevel="0" collapsed="false">
      <c r="A61" s="143" t="s">
        <v>128</v>
      </c>
      <c r="B61" s="144" t="s">
        <v>175</v>
      </c>
      <c r="C61" s="143" t="str">
        <f aca="false">VLOOKUP(B61,INSUMOS!$A:$I,2,0)</f>
        <v>Próprio</v>
      </c>
      <c r="D61" s="143" t="str">
        <f aca="false">VLOOKUP(B61,INSUMOS!$A:$I,3,0)</f>
        <v>ART DE PROJETO</v>
      </c>
      <c r="E61" s="143" t="str">
        <f aca="false">VLOOKUP(B61,INSUMOS!$A:$I,4,0)</f>
        <v>Taxas</v>
      </c>
      <c r="F61" s="143"/>
      <c r="G61" s="145" t="str">
        <f aca="false">VLOOKUP(B61,INSUMOS!$A:$I,5,0)</f>
        <v>UNIDADE</v>
      </c>
      <c r="H61" s="146" t="n">
        <v>1</v>
      </c>
      <c r="I61" s="147" t="n">
        <f aca="false">VLOOKUP(B61,INSUMOS!$A:$I,8,0)</f>
        <v>88.78</v>
      </c>
      <c r="J61" s="147" t="n">
        <f aca="false">TRUNC(H61*I61,2)</f>
        <v>88.78</v>
      </c>
      <c r="L61" s="68" t="n">
        <f aca="false">IF(AND(A62&lt;&gt;"",A61=""),L60+1,L60)</f>
        <v>5</v>
      </c>
      <c r="M61" s="101" t="n">
        <f aca="false">IF(OR(A61="Insumo",A61="Composição Auxiliar"),J61,"")</f>
        <v>88.78</v>
      </c>
      <c r="N61" s="102" t="str">
        <f aca="false">IF(ISNUMBER(SEARCH("COM ENCARGOS COMPLEMENTARES",D61)),J61,"")</f>
        <v/>
      </c>
      <c r="O61" s="102" t="n">
        <f aca="false">IF(N61&lt;&gt;"","",M61)</f>
        <v>88.78</v>
      </c>
      <c r="P61" s="103" t="str">
        <f aca="false">IF(A61="Composição",A60,"")</f>
        <v/>
      </c>
      <c r="Q61" s="102" t="str">
        <f aca="false">IF(P61&lt;&gt;"",SUMIF(L61:L161,L61,N61:N161),"")</f>
        <v/>
      </c>
      <c r="R61" s="102" t="str">
        <f aca="false">IF(P61&lt;&gt;"",SUMIF(L61:L161,L61,O61:O161),"")</f>
        <v/>
      </c>
    </row>
    <row r="62" customFormat="false" ht="14.25" hidden="false" customHeight="true" outlineLevel="0" collapsed="false">
      <c r="A62" s="143" t="s">
        <v>128</v>
      </c>
      <c r="B62" s="144" t="s">
        <v>176</v>
      </c>
      <c r="C62" s="143" t="str">
        <f aca="false">VLOOKUP(B62,INSUMOS!$A:$I,2,0)</f>
        <v>Próprio</v>
      </c>
      <c r="D62" s="143" t="str">
        <f aca="false">VLOOKUP(B62,INSUMOS!$A:$I,3,0)</f>
        <v>ART DE EXECUÇÃO</v>
      </c>
      <c r="E62" s="143" t="str">
        <f aca="false">VLOOKUP(B62,INSUMOS!$A:$I,4,0)</f>
        <v>Taxas</v>
      </c>
      <c r="F62" s="143"/>
      <c r="G62" s="145" t="str">
        <f aca="false">VLOOKUP(B62,INSUMOS!$A:$I,5,0)</f>
        <v>UNIDADE</v>
      </c>
      <c r="H62" s="146" t="n">
        <v>1</v>
      </c>
      <c r="I62" s="147" t="n">
        <f aca="false">VLOOKUP(B62,INSUMOS!$A:$I,8,0)</f>
        <v>233.94</v>
      </c>
      <c r="J62" s="147" t="n">
        <f aca="false">TRUNC(H62*I62,2)</f>
        <v>233.94</v>
      </c>
      <c r="L62" s="68" t="n">
        <f aca="false">IF(AND(A63&lt;&gt;"",A62=""),L61+1,L61)</f>
        <v>5</v>
      </c>
      <c r="M62" s="101" t="n">
        <f aca="false">IF(OR(A62="Insumo",A62="Composição Auxiliar"),J62,"")</f>
        <v>233.94</v>
      </c>
      <c r="N62" s="102" t="str">
        <f aca="false">IF(ISNUMBER(SEARCH("COM ENCARGOS COMPLEMENTARES",D62)),J62,"")</f>
        <v/>
      </c>
      <c r="O62" s="102" t="n">
        <f aca="false">IF(N62&lt;&gt;"","",M62)</f>
        <v>233.94</v>
      </c>
      <c r="P62" s="103" t="str">
        <f aca="false">IF(A62="Composição",A61,"")</f>
        <v/>
      </c>
      <c r="Q62" s="102" t="str">
        <f aca="false">IF(P62&lt;&gt;"",SUMIF(L62:L162,L62,N62:N162),"")</f>
        <v/>
      </c>
      <c r="R62" s="102" t="str">
        <f aca="false">IF(P62&lt;&gt;"",SUMIF(L62:L162,L62,O62:O162),"")</f>
        <v/>
      </c>
    </row>
    <row r="63" customFormat="false" ht="25" hidden="false" customHeight="true" outlineLevel="0" collapsed="false">
      <c r="A63" s="149"/>
      <c r="B63" s="149"/>
      <c r="C63" s="149"/>
      <c r="D63" s="149"/>
      <c r="E63" s="149"/>
      <c r="F63" s="150"/>
      <c r="G63" s="149"/>
      <c r="H63" s="150"/>
      <c r="I63" s="149"/>
      <c r="J63" s="150"/>
      <c r="L63" s="68" t="n">
        <f aca="false">IF(AND(A64&lt;&gt;"",A63=""),L62+1,L62)</f>
        <v>5</v>
      </c>
      <c r="M63" s="101" t="str">
        <f aca="false">IF(OR(A63="Insumo",A63="Composição Auxiliar"),J63,"")</f>
        <v/>
      </c>
      <c r="N63" s="102" t="str">
        <f aca="false">IF(ISNUMBER(SEARCH("COM ENCARGOS COMPLEMENTARES",D63)),J63,"")</f>
        <v/>
      </c>
      <c r="O63" s="102" t="str">
        <f aca="false">IF(N63&lt;&gt;"","",M63)</f>
        <v/>
      </c>
      <c r="P63" s="103" t="str">
        <f aca="false">IF(A63="Composição",A62,"")</f>
        <v/>
      </c>
      <c r="Q63" s="102" t="str">
        <f aca="false">IF(P63&lt;&gt;"",SUMIF(L63:L163,L63,N63:N163),"")</f>
        <v/>
      </c>
      <c r="R63" s="102" t="str">
        <f aca="false">IF(P63&lt;&gt;"",SUMIF(L63:L163,L63,O63:O163),"")</f>
        <v/>
      </c>
    </row>
    <row r="64" customFormat="false" ht="14.25" hidden="false" customHeight="true" outlineLevel="0" collapsed="false">
      <c r="A64" s="149"/>
      <c r="B64" s="149"/>
      <c r="C64" s="149"/>
      <c r="D64" s="149"/>
      <c r="E64" s="149"/>
      <c r="F64" s="150"/>
      <c r="G64" s="149"/>
      <c r="H64" s="151" t="s">
        <v>135</v>
      </c>
      <c r="I64" s="151"/>
      <c r="J64" s="150" t="n">
        <f aca="false">TRUNC(SUMIF(L:L,$L64,M:M)*(1+$J$9),2)</f>
        <v>3908.49</v>
      </c>
      <c r="L64" s="68" t="n">
        <f aca="false">IF(AND(A65&lt;&gt;"",A64=""),L63+1,L63)</f>
        <v>5</v>
      </c>
      <c r="M64" s="101" t="str">
        <f aca="false">IF(OR(A64="Insumo",A64="Composição Auxiliar"),J64,"")</f>
        <v/>
      </c>
      <c r="N64" s="102" t="str">
        <f aca="false">IF(ISNUMBER(SEARCH("COM ENCARGOS COMPLEMENTARES",D64)),J64,"")</f>
        <v/>
      </c>
      <c r="O64" s="102" t="str">
        <f aca="false">IF(N64&lt;&gt;"","",M64)</f>
        <v/>
      </c>
      <c r="P64" s="103" t="str">
        <f aca="false">IF(A64="Composição",A63,"")</f>
        <v/>
      </c>
      <c r="Q64" s="102" t="str">
        <f aca="false">IF(P64&lt;&gt;"",SUMIF(L64:L164,L64,N64:N164),"")</f>
        <v/>
      </c>
      <c r="R64" s="102" t="str">
        <f aca="false">IF(P64&lt;&gt;"",SUMIF(L64:L164,L64,O64:O164),"")</f>
        <v/>
      </c>
    </row>
    <row r="65" customFormat="false" ht="14.5" hidden="false" customHeight="false" outlineLevel="0" collapsed="false">
      <c r="A65" s="152"/>
      <c r="B65" s="152"/>
      <c r="C65" s="152"/>
      <c r="D65" s="152"/>
      <c r="E65" s="152"/>
      <c r="F65" s="152"/>
      <c r="G65" s="152" t="s">
        <v>140</v>
      </c>
      <c r="H65" s="153" t="n">
        <v>1</v>
      </c>
      <c r="I65" s="152" t="s">
        <v>141</v>
      </c>
      <c r="J65" s="154" t="n">
        <f aca="false">TRUNC(J64*H65,2)</f>
        <v>3908.49</v>
      </c>
      <c r="L65" s="68" t="n">
        <f aca="false">IF(AND(A66&lt;&gt;"",A65=""),L64+1,L64)</f>
        <v>5</v>
      </c>
      <c r="M65" s="101" t="str">
        <f aca="false">IF(OR(A65="Insumo",A65="Composição Auxiliar"),J65,"")</f>
        <v/>
      </c>
      <c r="N65" s="102" t="str">
        <f aca="false">IF(ISNUMBER(SEARCH("COM ENCARGOS COMPLEMENTARES",D65)),J65,"")</f>
        <v/>
      </c>
      <c r="O65" s="102" t="str">
        <f aca="false">IF(N65&lt;&gt;"","",M65)</f>
        <v/>
      </c>
      <c r="P65" s="103" t="str">
        <f aca="false">IF(A65="Composição",A64,"")</f>
        <v/>
      </c>
      <c r="Q65" s="102" t="str">
        <f aca="false">IF(P65&lt;&gt;"",SUMIF(L65:L165,L65,N65:N165),"")</f>
        <v/>
      </c>
      <c r="R65" s="102" t="str">
        <f aca="false">IF(P65&lt;&gt;"",SUMIF(L65:L165,L65,O65:O165),"")</f>
        <v/>
      </c>
    </row>
    <row r="66" customFormat="false" ht="14.25" hidden="false" customHeight="true" outlineLevel="0" collapsed="false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L66" s="68" t="n">
        <f aca="false">IF(AND(A67&lt;&gt;"",A66=""),L65+1,L65)</f>
        <v>6</v>
      </c>
      <c r="M66" s="101" t="str">
        <f aca="false">IF(OR(A66="Insumo",A66="Composição Auxiliar"),J66,"")</f>
        <v/>
      </c>
      <c r="N66" s="102" t="str">
        <f aca="false">IF(ISNUMBER(SEARCH("COM ENCARGOS COMPLEMENTARES",D66)),J66,"")</f>
        <v/>
      </c>
      <c r="O66" s="102" t="str">
        <f aca="false">IF(N66&lt;&gt;"","",M66)</f>
        <v/>
      </c>
      <c r="P66" s="103" t="str">
        <f aca="false">IF(A66="Composição",A65,"")</f>
        <v/>
      </c>
      <c r="Q66" s="102" t="str">
        <f aca="false">IF(P66&lt;&gt;"",SUMIF(L66:L166,L66,N66:N166),"")</f>
        <v/>
      </c>
      <c r="R66" s="102" t="str">
        <f aca="false">IF(P66&lt;&gt;"",SUMIF(L66:L166,L66,O66:O166),"")</f>
        <v/>
      </c>
    </row>
    <row r="67" customFormat="false" ht="14.15" hidden="false" customHeight="true" outlineLevel="0" collapsed="false">
      <c r="A67" s="97" t="s">
        <v>49</v>
      </c>
      <c r="B67" s="97"/>
      <c r="C67" s="97"/>
      <c r="D67" s="97" t="s">
        <v>50</v>
      </c>
      <c r="E67" s="97"/>
      <c r="F67" s="97"/>
      <c r="G67" s="97"/>
      <c r="H67" s="98"/>
      <c r="I67" s="97"/>
      <c r="J67" s="99"/>
      <c r="L67" s="68" t="n">
        <f aca="false">IF(AND(A68&lt;&gt;"",A67=""),L66+1,L66)</f>
        <v>6</v>
      </c>
      <c r="M67" s="101" t="str">
        <f aca="false">IF(OR(A67="Insumo",A67="Composição Auxiliar"),J67,"")</f>
        <v/>
      </c>
      <c r="N67" s="102" t="str">
        <f aca="false">IF(ISNUMBER(SEARCH("COM ENCARGOS COMPLEMENTARES",D67)),J67,"")</f>
        <v/>
      </c>
      <c r="O67" s="102" t="str">
        <f aca="false">IF(N67&lt;&gt;"","",M67)</f>
        <v/>
      </c>
      <c r="P67" s="103" t="str">
        <f aca="false">IF(A67="Composição",A66,"")</f>
        <v/>
      </c>
      <c r="Q67" s="102" t="str">
        <f aca="false">IF(P67&lt;&gt;"",SUMIF(L67:L167,L67,N67:N167),"")</f>
        <v/>
      </c>
      <c r="R67" s="102" t="str">
        <f aca="false">IF(P67&lt;&gt;"",SUMIF(L67:L167,L67,O67:O167),"")</f>
        <v/>
      </c>
    </row>
    <row r="68" customFormat="false" ht="14" hidden="false" customHeight="true" outlineLevel="0" collapsed="false">
      <c r="A68" s="118" t="s">
        <v>51</v>
      </c>
      <c r="B68" s="119" t="s">
        <v>115</v>
      </c>
      <c r="C68" s="118" t="s">
        <v>116</v>
      </c>
      <c r="D68" s="118" t="s">
        <v>117</v>
      </c>
      <c r="E68" s="118" t="s">
        <v>118</v>
      </c>
      <c r="F68" s="118"/>
      <c r="G68" s="120" t="s">
        <v>119</v>
      </c>
      <c r="H68" s="119" t="s">
        <v>120</v>
      </c>
      <c r="I68" s="119" t="s">
        <v>130</v>
      </c>
      <c r="J68" s="119" t="s">
        <v>131</v>
      </c>
      <c r="L68" s="68" t="n">
        <f aca="false">IF(AND(A69&lt;&gt;"",A68=""),L67+1,L67)</f>
        <v>6</v>
      </c>
      <c r="M68" s="101" t="str">
        <f aca="false">IF(OR(A68="Insumo",A68="Composição Auxiliar"),J68,"")</f>
        <v/>
      </c>
      <c r="N68" s="102" t="str">
        <f aca="false">IF(ISNUMBER(SEARCH("COM ENCARGOS COMPLEMENTARES",D68)),J68,"")</f>
        <v/>
      </c>
      <c r="O68" s="102" t="str">
        <f aca="false">IF(N68&lt;&gt;"","",M68)</f>
        <v/>
      </c>
      <c r="P68" s="103" t="str">
        <f aca="false">IF(A68="Composição",A67,"")</f>
        <v/>
      </c>
      <c r="Q68" s="102" t="str">
        <f aca="false">IF(P68&lt;&gt;"",SUMIF(L68:L168,L68,N68:N168),"")</f>
        <v/>
      </c>
      <c r="R68" s="102" t="str">
        <f aca="false">IF(P68&lt;&gt;"",SUMIF(L68:L168,L68,O68:O168),"")</f>
        <v/>
      </c>
    </row>
    <row r="69" customFormat="false" ht="51" hidden="false" customHeight="true" outlineLevel="0" collapsed="false">
      <c r="A69" s="122" t="s">
        <v>121</v>
      </c>
      <c r="B69" s="55" t="s">
        <v>52</v>
      </c>
      <c r="C69" s="122" t="s">
        <v>153</v>
      </c>
      <c r="D69" s="122" t="s">
        <v>177</v>
      </c>
      <c r="E69" s="122" t="s">
        <v>170</v>
      </c>
      <c r="F69" s="122"/>
      <c r="G69" s="123" t="s">
        <v>178</v>
      </c>
      <c r="H69" s="124" t="n">
        <v>1</v>
      </c>
      <c r="I69" s="125" t="n">
        <f aca="false">SUMIF(L:L,$L69,M:M)</f>
        <v>3272.94</v>
      </c>
      <c r="J69" s="125" t="n">
        <f aca="false">TRUNC(H69*I69,2)</f>
        <v>3272.94</v>
      </c>
      <c r="L69" s="68" t="n">
        <f aca="false">IF(AND(A70&lt;&gt;"",A69=""),L68+1,L68)</f>
        <v>6</v>
      </c>
      <c r="M69" s="101" t="str">
        <f aca="false">IF(OR(A69="Insumo",A69="Composição Auxiliar"),J69,"")</f>
        <v/>
      </c>
      <c r="N69" s="102" t="str">
        <f aca="false">IF(ISNUMBER(SEARCH("COM ENCARGOS COMPLEMENTARES",D69)),J69,"")</f>
        <v/>
      </c>
      <c r="O69" s="102" t="str">
        <f aca="false">IF(N69&lt;&gt;"","",M69)</f>
        <v/>
      </c>
      <c r="P69" s="103" t="str">
        <f aca="false">IF(A69="Composição",A68,"")</f>
        <v> 2.2.1 </v>
      </c>
      <c r="Q69" s="102" t="n">
        <f aca="false">IF(P69&lt;&gt;"",SUMIF(L69:L169,L69,N69:N169),"")</f>
        <v>460.8</v>
      </c>
      <c r="R69" s="102" t="n">
        <f aca="false">IF(P69&lt;&gt;"",SUMIF(L69:L169,L69,O69:O169),"")</f>
        <v>2812.14</v>
      </c>
    </row>
    <row r="70" customFormat="false" ht="25" hidden="false" customHeight="true" outlineLevel="0" collapsed="false">
      <c r="A70" s="129" t="s">
        <v>126</v>
      </c>
      <c r="B70" s="130" t="s">
        <v>179</v>
      </c>
      <c r="C70" s="129" t="s">
        <v>122</v>
      </c>
      <c r="D70" s="129" t="s">
        <v>180</v>
      </c>
      <c r="E70" s="129" t="s">
        <v>124</v>
      </c>
      <c r="F70" s="129"/>
      <c r="G70" s="131" t="s">
        <v>125</v>
      </c>
      <c r="H70" s="132" t="n">
        <v>10</v>
      </c>
      <c r="I70" s="133" t="n">
        <f aca="false">SUMIFS('ANALÍTICA AUXILIARES'!J:J,'ANALÍTICA AUXILIARES'!A:A,"Composição",'ANALÍTICA AUXILIARES'!B:B,$B70)</f>
        <v>19.33</v>
      </c>
      <c r="J70" s="133" t="n">
        <f aca="false">TRUNC(H70*I70,2)</f>
        <v>193.3</v>
      </c>
      <c r="L70" s="68" t="n">
        <f aca="false">IF(AND(A71&lt;&gt;"",A70=""),L69+1,L69)</f>
        <v>6</v>
      </c>
      <c r="M70" s="101" t="n">
        <f aca="false">IF(OR(A70="Insumo",A70="Composição Auxiliar"),J70,"")</f>
        <v>193.3</v>
      </c>
      <c r="N70" s="102" t="n">
        <f aca="false">IF(ISNUMBER(SEARCH("COM ENCARGOS COMPLEMENTARES",D70)),J70,"")</f>
        <v>193.3</v>
      </c>
      <c r="O70" s="102" t="str">
        <f aca="false">IF(N70&lt;&gt;"","",M70)</f>
        <v/>
      </c>
      <c r="P70" s="103" t="str">
        <f aca="false">IF(A70="Composição",A69,"")</f>
        <v/>
      </c>
      <c r="Q70" s="102" t="str">
        <f aca="false">IF(P70&lt;&gt;"",SUMIF(L70:L170,L70,N70:N170),"")</f>
        <v/>
      </c>
      <c r="R70" s="102" t="str">
        <f aca="false">IF(P70&lt;&gt;"",SUMIF(L70:L170,L70,O70:O170),"")</f>
        <v/>
      </c>
    </row>
    <row r="71" customFormat="false" ht="25" hidden="false" customHeight="true" outlineLevel="0" collapsed="false">
      <c r="A71" s="129" t="s">
        <v>126</v>
      </c>
      <c r="B71" s="130" t="s">
        <v>181</v>
      </c>
      <c r="C71" s="129" t="s">
        <v>122</v>
      </c>
      <c r="D71" s="129" t="s">
        <v>182</v>
      </c>
      <c r="E71" s="129" t="s">
        <v>124</v>
      </c>
      <c r="F71" s="129"/>
      <c r="G71" s="131" t="s">
        <v>125</v>
      </c>
      <c r="H71" s="132" t="n">
        <v>10</v>
      </c>
      <c r="I71" s="133" t="n">
        <f aca="false">SUMIFS('ANALÍTICA AUXILIARES'!J:J,'ANALÍTICA AUXILIARES'!A:A,"Composição",'ANALÍTICA AUXILIARES'!B:B,$B71)</f>
        <v>26.75</v>
      </c>
      <c r="J71" s="133" t="n">
        <f aca="false">TRUNC(H71*I71,2)</f>
        <v>267.5</v>
      </c>
      <c r="L71" s="68" t="n">
        <f aca="false">IF(AND(A72&lt;&gt;"",A71=""),L70+1,L70)</f>
        <v>6</v>
      </c>
      <c r="M71" s="101" t="n">
        <f aca="false">IF(OR(A71="Insumo",A71="Composição Auxiliar"),J71,"")</f>
        <v>267.5</v>
      </c>
      <c r="N71" s="102" t="n">
        <f aca="false">IF(ISNUMBER(SEARCH("COM ENCARGOS COMPLEMENTARES",D71)),J71,"")</f>
        <v>267.5</v>
      </c>
      <c r="O71" s="102" t="str">
        <f aca="false">IF(N71&lt;&gt;"","",M71)</f>
        <v/>
      </c>
      <c r="P71" s="103" t="str">
        <f aca="false">IF(A71="Composição",A70,"")</f>
        <v/>
      </c>
      <c r="Q71" s="102" t="str">
        <f aca="false">IF(P71&lt;&gt;"",SUMIF(L71:L171,L71,N71:N171),"")</f>
        <v/>
      </c>
      <c r="R71" s="102" t="str">
        <f aca="false">IF(P71&lt;&gt;"",SUMIF(L71:L171,L71,O71:O171),"")</f>
        <v/>
      </c>
    </row>
    <row r="72" customFormat="false" ht="37.5" hidden="false" customHeight="false" outlineLevel="0" collapsed="false">
      <c r="A72" s="143" t="s">
        <v>128</v>
      </c>
      <c r="B72" s="144" t="s">
        <v>183</v>
      </c>
      <c r="C72" s="143" t="str">
        <f aca="false">VLOOKUP(B72,INSUMOS!$A:$I,2,0)</f>
        <v>Próprio</v>
      </c>
      <c r="D72" s="143" t="str">
        <f aca="false">VLOOKUP(B72,INSUMOS!$A:$I,3,0)</f>
        <v>KIT GERADOR FOTOVOLTAICO (INVERSOR, STRING-BOX, MÓDULOS, CABOS, CONECTORES, ESTRUTURA DE FIXAÇÃO E MONITORAMENTO) PARA MONTAGEM EM TELHADO METÁLICO TRAPEZOIDAL</v>
      </c>
      <c r="E72" s="143" t="str">
        <f aca="false">VLOOKUP(B72,INSUMOS!$A:$I,4,0)</f>
        <v>Equipamento para Aquisição Permanente</v>
      </c>
      <c r="F72" s="143"/>
      <c r="G72" s="145" t="str">
        <f aca="false">VLOOKUP(B72,INSUMOS!$A:$I,5,0)</f>
        <v>kWp</v>
      </c>
      <c r="H72" s="146" t="n">
        <v>1</v>
      </c>
      <c r="I72" s="147" t="n">
        <f aca="false">VLOOKUP(B72,INSUMOS!$A:$I,8,0)</f>
        <v>2812.14</v>
      </c>
      <c r="J72" s="147" t="n">
        <f aca="false">TRUNC(H72*I72,2)</f>
        <v>2812.14</v>
      </c>
      <c r="L72" s="68" t="n">
        <f aca="false">IF(AND(A73&lt;&gt;"",A72=""),L71+1,L71)</f>
        <v>6</v>
      </c>
      <c r="M72" s="101" t="n">
        <f aca="false">IF(OR(A72="Insumo",A72="Composição Auxiliar"),J72,"")</f>
        <v>2812.14</v>
      </c>
      <c r="N72" s="102" t="str">
        <f aca="false">IF(ISNUMBER(SEARCH("COM ENCARGOS COMPLEMENTARES",D72)),J72,"")</f>
        <v/>
      </c>
      <c r="O72" s="102" t="n">
        <f aca="false">IF(N72&lt;&gt;"","",M72)</f>
        <v>2812.14</v>
      </c>
      <c r="P72" s="103" t="str">
        <f aca="false">IF(A72="Composição",A71,"")</f>
        <v/>
      </c>
      <c r="Q72" s="102" t="str">
        <f aca="false">IF(P72&lt;&gt;"",SUMIF(L72:L172,L72,N72:N172),"")</f>
        <v/>
      </c>
      <c r="R72" s="102" t="str">
        <f aca="false">IF(P72&lt;&gt;"",SUMIF(L72:L172,L72,O72:O172),"")</f>
        <v/>
      </c>
    </row>
    <row r="73" customFormat="false" ht="14.25" hidden="false" customHeight="true" outlineLevel="0" collapsed="false">
      <c r="A73" s="149"/>
      <c r="B73" s="149"/>
      <c r="C73" s="149"/>
      <c r="D73" s="149"/>
      <c r="E73" s="149"/>
      <c r="F73" s="150"/>
      <c r="G73" s="149"/>
      <c r="H73" s="150"/>
      <c r="I73" s="149"/>
      <c r="J73" s="150"/>
      <c r="L73" s="68" t="n">
        <f aca="false">IF(AND(A74&lt;&gt;"",A73=""),L72+1,L72)</f>
        <v>6</v>
      </c>
      <c r="M73" s="101" t="str">
        <f aca="false">IF(OR(A73="Insumo",A73="Composição Auxiliar"),J73,"")</f>
        <v/>
      </c>
      <c r="N73" s="102" t="str">
        <f aca="false">IF(ISNUMBER(SEARCH("COM ENCARGOS COMPLEMENTARES",D73)),J73,"")</f>
        <v/>
      </c>
      <c r="O73" s="102" t="str">
        <f aca="false">IF(N73&lt;&gt;"","",M73)</f>
        <v/>
      </c>
      <c r="P73" s="103" t="str">
        <f aca="false">IF(A73="Composição",A72,"")</f>
        <v/>
      </c>
      <c r="Q73" s="102" t="str">
        <f aca="false">IF(P73&lt;&gt;"",SUMIF(L73:L173,L73,N73:N173),"")</f>
        <v/>
      </c>
      <c r="R73" s="102" t="str">
        <f aca="false">IF(P73&lt;&gt;"",SUMIF(L73:L173,L73,O73:O173),"")</f>
        <v/>
      </c>
    </row>
    <row r="74" customFormat="false" ht="14.25" hidden="false" customHeight="true" outlineLevel="0" collapsed="false">
      <c r="A74" s="149"/>
      <c r="B74" s="149"/>
      <c r="C74" s="149"/>
      <c r="D74" s="149"/>
      <c r="E74" s="149"/>
      <c r="F74" s="150"/>
      <c r="G74" s="149"/>
      <c r="H74" s="151" t="s">
        <v>135</v>
      </c>
      <c r="I74" s="151"/>
      <c r="J74" s="150" t="n">
        <f aca="false">TRUNC(SUMIF(L:L,$L74,M:M)*(1+$J$9),2)</f>
        <v>4000.18</v>
      </c>
      <c r="L74" s="68" t="n">
        <f aca="false">IF(AND(A75&lt;&gt;"",A74=""),L73+1,L73)</f>
        <v>6</v>
      </c>
      <c r="M74" s="101" t="str">
        <f aca="false">IF(OR(A74="Insumo",A74="Composição Auxiliar"),J74,"")</f>
        <v/>
      </c>
      <c r="N74" s="102" t="str">
        <f aca="false">IF(ISNUMBER(SEARCH("COM ENCARGOS COMPLEMENTARES",D74)),J74,"")</f>
        <v/>
      </c>
      <c r="O74" s="102" t="str">
        <f aca="false">IF(N74&lt;&gt;"","",M74)</f>
        <v/>
      </c>
      <c r="P74" s="103" t="str">
        <f aca="false">IF(A74="Composição",A73,"")</f>
        <v/>
      </c>
      <c r="Q74" s="102" t="str">
        <f aca="false">IF(P74&lt;&gt;"",SUMIF(L74:L174,L74,N74:N174),"")</f>
        <v/>
      </c>
      <c r="R74" s="102" t="str">
        <f aca="false">IF(P74&lt;&gt;"",SUMIF(L74:L174,L74,O74:O174),"")</f>
        <v/>
      </c>
    </row>
    <row r="75" customFormat="false" ht="14.15" hidden="false" customHeight="true" outlineLevel="0" collapsed="false">
      <c r="A75" s="152"/>
      <c r="B75" s="152"/>
      <c r="C75" s="152"/>
      <c r="D75" s="152"/>
      <c r="E75" s="152"/>
      <c r="F75" s="152"/>
      <c r="G75" s="152" t="s">
        <v>140</v>
      </c>
      <c r="H75" s="153" t="n">
        <v>55.62</v>
      </c>
      <c r="I75" s="152" t="s">
        <v>141</v>
      </c>
      <c r="J75" s="154" t="n">
        <f aca="false">TRUNC(J74*H75,2)</f>
        <v>222490.01</v>
      </c>
      <c r="L75" s="68" t="n">
        <f aca="false">IF(AND(A76&lt;&gt;"",A75=""),L74+1,L74)</f>
        <v>6</v>
      </c>
      <c r="M75" s="101" t="str">
        <f aca="false">IF(OR(A75="Insumo",A75="Composição Auxiliar"),J75,"")</f>
        <v/>
      </c>
      <c r="N75" s="102" t="str">
        <f aca="false">IF(ISNUMBER(SEARCH("COM ENCARGOS COMPLEMENTARES",D75)),J75,"")</f>
        <v/>
      </c>
      <c r="O75" s="102" t="str">
        <f aca="false">IF(N75&lt;&gt;"","",M75)</f>
        <v/>
      </c>
      <c r="P75" s="103" t="str">
        <f aca="false">IF(A75="Composição",A74,"")</f>
        <v/>
      </c>
      <c r="Q75" s="102" t="str">
        <f aca="false">IF(P75&lt;&gt;"",SUMIF(L75:L175,L75,N75:N175),"")</f>
        <v/>
      </c>
      <c r="R75" s="102" t="str">
        <f aca="false">IF(P75&lt;&gt;"",SUMIF(L75:L175,L75,O75:O175),"")</f>
        <v/>
      </c>
    </row>
    <row r="76" customFormat="false" ht="14.5" hidden="false" customHeight="false" outlineLevel="0" collapsed="false">
      <c r="A76" s="155"/>
      <c r="B76" s="155"/>
      <c r="C76" s="155"/>
      <c r="D76" s="155"/>
      <c r="E76" s="155"/>
      <c r="F76" s="155"/>
      <c r="G76" s="155"/>
      <c r="H76" s="155"/>
      <c r="I76" s="155"/>
      <c r="J76" s="155"/>
      <c r="L76" s="68" t="n">
        <f aca="false">IF(AND(A77&lt;&gt;"",A76=""),L75+1,L75)</f>
        <v>7</v>
      </c>
      <c r="M76" s="101" t="str">
        <f aca="false">IF(OR(A76="Insumo",A76="Composição Auxiliar"),J76,"")</f>
        <v/>
      </c>
      <c r="N76" s="102" t="str">
        <f aca="false">IF(ISNUMBER(SEARCH("COM ENCARGOS COMPLEMENTARES",D76)),J76,"")</f>
        <v/>
      </c>
      <c r="O76" s="102" t="str">
        <f aca="false">IF(N76&lt;&gt;"","",M76)</f>
        <v/>
      </c>
      <c r="P76" s="103" t="str">
        <f aca="false">IF(A76="Composição",A75,"")</f>
        <v/>
      </c>
      <c r="Q76" s="102" t="str">
        <f aca="false">IF(P76&lt;&gt;"",SUMIF(L76:L176,L76,N76:N176),"")</f>
        <v/>
      </c>
      <c r="R76" s="102" t="str">
        <f aca="false">IF(P76&lt;&gt;"",SUMIF(L76:L176,L76,O76:O176),"")</f>
        <v/>
      </c>
    </row>
    <row r="77" customFormat="false" ht="25.5" hidden="false" customHeight="true" outlineLevel="0" collapsed="false">
      <c r="A77" s="118" t="s">
        <v>53</v>
      </c>
      <c r="B77" s="119" t="s">
        <v>115</v>
      </c>
      <c r="C77" s="118" t="s">
        <v>116</v>
      </c>
      <c r="D77" s="118" t="s">
        <v>117</v>
      </c>
      <c r="E77" s="118" t="s">
        <v>118</v>
      </c>
      <c r="F77" s="118"/>
      <c r="G77" s="120" t="s">
        <v>119</v>
      </c>
      <c r="H77" s="119" t="s">
        <v>120</v>
      </c>
      <c r="I77" s="119" t="s">
        <v>130</v>
      </c>
      <c r="J77" s="119" t="s">
        <v>131</v>
      </c>
      <c r="L77" s="68" t="n">
        <f aca="false">IF(AND(A78&lt;&gt;"",A77=""),L76+1,L76)</f>
        <v>7</v>
      </c>
      <c r="M77" s="101" t="str">
        <f aca="false">IF(OR(A77="Insumo",A77="Composição Auxiliar"),J77,"")</f>
        <v/>
      </c>
      <c r="N77" s="102" t="str">
        <f aca="false">IF(ISNUMBER(SEARCH("COM ENCARGOS COMPLEMENTARES",D77)),J77,"")</f>
        <v/>
      </c>
      <c r="O77" s="102" t="str">
        <f aca="false">IF(N77&lt;&gt;"","",M77)</f>
        <v/>
      </c>
      <c r="P77" s="103" t="str">
        <f aca="false">IF(A77="Composição",A76,"")</f>
        <v/>
      </c>
      <c r="Q77" s="102" t="str">
        <f aca="false">IF(P77&lt;&gt;"",SUMIF(L77:L177,L77,N77:N177),"")</f>
        <v/>
      </c>
      <c r="R77" s="102" t="str">
        <f aca="false">IF(P77&lt;&gt;"",SUMIF(L77:L177,L77,O77:O177),"")</f>
        <v/>
      </c>
    </row>
    <row r="78" customFormat="false" ht="25.5" hidden="false" customHeight="true" outlineLevel="0" collapsed="false">
      <c r="A78" s="122" t="s">
        <v>121</v>
      </c>
      <c r="B78" s="55" t="s">
        <v>54</v>
      </c>
      <c r="C78" s="122" t="s">
        <v>153</v>
      </c>
      <c r="D78" s="122" t="s">
        <v>184</v>
      </c>
      <c r="E78" s="122" t="s">
        <v>170</v>
      </c>
      <c r="F78" s="122"/>
      <c r="G78" s="123" t="s">
        <v>171</v>
      </c>
      <c r="H78" s="124" t="n">
        <v>1</v>
      </c>
      <c r="I78" s="125" t="n">
        <f aca="false">SUMIF(L:L,$L78,M:M)</f>
        <v>35.69</v>
      </c>
      <c r="J78" s="125" t="n">
        <f aca="false">TRUNC(H78*I78,2)</f>
        <v>35.69</v>
      </c>
      <c r="L78" s="68" t="n">
        <f aca="false">IF(AND(A79&lt;&gt;"",A78=""),L77+1,L77)</f>
        <v>7</v>
      </c>
      <c r="M78" s="101" t="str">
        <f aca="false">IF(OR(A78="Insumo",A78="Composição Auxiliar"),J78,"")</f>
        <v/>
      </c>
      <c r="N78" s="102" t="str">
        <f aca="false">IF(ISNUMBER(SEARCH("COM ENCARGOS COMPLEMENTARES",D78)),J78,"")</f>
        <v/>
      </c>
      <c r="O78" s="102" t="str">
        <f aca="false">IF(N78&lt;&gt;"","",M78)</f>
        <v/>
      </c>
      <c r="P78" s="103" t="str">
        <f aca="false">IF(A78="Composição",A77,"")</f>
        <v> 2.2.2 </v>
      </c>
      <c r="Q78" s="102" t="n">
        <f aca="false">IF(P78&lt;&gt;"",SUMIF(L78:L178,L78,N78:N178),"")</f>
        <v>4.83</v>
      </c>
      <c r="R78" s="102" t="n">
        <f aca="false">IF(P78&lt;&gt;"",SUMIF(L78:L178,L78,O78:O178),"")</f>
        <v>30.86</v>
      </c>
    </row>
    <row r="79" customFormat="false" ht="25.5" hidden="false" customHeight="true" outlineLevel="0" collapsed="false">
      <c r="A79" s="129" t="s">
        <v>126</v>
      </c>
      <c r="B79" s="130" t="s">
        <v>179</v>
      </c>
      <c r="C79" s="129" t="s">
        <v>122</v>
      </c>
      <c r="D79" s="129" t="s">
        <v>180</v>
      </c>
      <c r="E79" s="129" t="s">
        <v>124</v>
      </c>
      <c r="F79" s="129"/>
      <c r="G79" s="131" t="s">
        <v>125</v>
      </c>
      <c r="H79" s="132" t="n">
        <v>0.25</v>
      </c>
      <c r="I79" s="133" t="n">
        <f aca="false">SUMIFS('ANALÍTICA AUXILIARES'!J:J,'ANALÍTICA AUXILIARES'!A:A,"Composição",'ANALÍTICA AUXILIARES'!B:B,$B79)</f>
        <v>19.33</v>
      </c>
      <c r="J79" s="133" t="n">
        <f aca="false">TRUNC(H79*I79,2)</f>
        <v>4.83</v>
      </c>
      <c r="L79" s="68" t="n">
        <f aca="false">IF(AND(A80&lt;&gt;"",A79=""),L78+1,L78)</f>
        <v>7</v>
      </c>
      <c r="M79" s="101" t="n">
        <f aca="false">IF(OR(A79="Insumo",A79="Composição Auxiliar"),J79,"")</f>
        <v>4.83</v>
      </c>
      <c r="N79" s="102" t="n">
        <f aca="false">IF(ISNUMBER(SEARCH("COM ENCARGOS COMPLEMENTARES",D79)),J79,"")</f>
        <v>4.83</v>
      </c>
      <c r="O79" s="102" t="str">
        <f aca="false">IF(N79&lt;&gt;"","",M79)</f>
        <v/>
      </c>
      <c r="P79" s="103" t="str">
        <f aca="false">IF(A79="Composição",A78,"")</f>
        <v/>
      </c>
      <c r="Q79" s="102" t="str">
        <f aca="false">IF(P79&lt;&gt;"",SUMIF(L79:L179,L79,N79:N179),"")</f>
        <v/>
      </c>
      <c r="R79" s="102" t="str">
        <f aca="false">IF(P79&lt;&gt;"",SUMIF(L79:L179,L79,O79:O179),"")</f>
        <v/>
      </c>
    </row>
    <row r="80" customFormat="false" ht="14" hidden="false" customHeight="false" outlineLevel="0" collapsed="false">
      <c r="A80" s="143" t="s">
        <v>128</v>
      </c>
      <c r="B80" s="144" t="s">
        <v>185</v>
      </c>
      <c r="C80" s="143" t="str">
        <f aca="false">VLOOKUP(B80,INSUMOS!$A:$I,2,0)</f>
        <v>ORSE</v>
      </c>
      <c r="D80" s="143" t="str">
        <f aca="false">VLOOKUP(B80,INSUMOS!$A:$I,3,0)</f>
        <v>Fita adesiva marca 3M, largura 22mm, ref. VHB - rolo com 20m</v>
      </c>
      <c r="E80" s="143" t="str">
        <f aca="false">VLOOKUP(B80,INSUMOS!$A:$I,4,0)</f>
        <v>Material</v>
      </c>
      <c r="F80" s="143"/>
      <c r="G80" s="145" t="str">
        <f aca="false">VLOOKUP(B80,INSUMOS!$A:$I,5,0)</f>
        <v>un</v>
      </c>
      <c r="H80" s="146" t="n">
        <v>0.15</v>
      </c>
      <c r="I80" s="147" t="n">
        <f aca="false">VLOOKUP(B80,INSUMOS!$A:$I,8,0)</f>
        <v>15.09</v>
      </c>
      <c r="J80" s="147" t="n">
        <f aca="false">TRUNC(H80*I80,2)</f>
        <v>2.26</v>
      </c>
      <c r="L80" s="68" t="n">
        <f aca="false">IF(AND(A81&lt;&gt;"",A80=""),L79+1,L79)</f>
        <v>7</v>
      </c>
      <c r="M80" s="101" t="n">
        <f aca="false">IF(OR(A80="Insumo",A80="Composição Auxiliar"),J80,"")</f>
        <v>2.26</v>
      </c>
      <c r="N80" s="102" t="str">
        <f aca="false">IF(ISNUMBER(SEARCH("COM ENCARGOS COMPLEMENTARES",D80)),J80,"")</f>
        <v/>
      </c>
      <c r="O80" s="102" t="n">
        <f aca="false">IF(N80&lt;&gt;"","",M80)</f>
        <v>2.26</v>
      </c>
      <c r="P80" s="103" t="str">
        <f aca="false">IF(A80="Composição",A79,"")</f>
        <v/>
      </c>
      <c r="Q80" s="102" t="str">
        <f aca="false">IF(P80&lt;&gt;"",SUMIF(L80:L180,L80,N80:N180),"")</f>
        <v/>
      </c>
      <c r="R80" s="102" t="str">
        <f aca="false">IF(P80&lt;&gt;"",SUMIF(L80:L180,L80,O80:O180),"")</f>
        <v/>
      </c>
    </row>
    <row r="81" customFormat="false" ht="14.25" hidden="false" customHeight="true" outlineLevel="0" collapsed="false">
      <c r="A81" s="143" t="s">
        <v>128</v>
      </c>
      <c r="B81" s="144" t="s">
        <v>186</v>
      </c>
      <c r="C81" s="143" t="str">
        <f aca="false">VLOOKUP(B81,INSUMOS!$A:$I,2,0)</f>
        <v>ORSE</v>
      </c>
      <c r="D81" s="143" t="str">
        <f aca="false">VLOOKUP(B81,INSUMOS!$A:$I,3,0)</f>
        <v>Placa indicativa de sentido em pvc, dim.: 20 x 30 cm</v>
      </c>
      <c r="E81" s="143" t="str">
        <f aca="false">VLOOKUP(B81,INSUMOS!$A:$I,4,0)</f>
        <v>Material</v>
      </c>
      <c r="F81" s="143"/>
      <c r="G81" s="145" t="str">
        <f aca="false">VLOOKUP(B81,INSUMOS!$A:$I,5,0)</f>
        <v>Un</v>
      </c>
      <c r="H81" s="146" t="n">
        <v>1</v>
      </c>
      <c r="I81" s="147" t="n">
        <f aca="false">VLOOKUP(B81,INSUMOS!$A:$I,8,0)</f>
        <v>28.6</v>
      </c>
      <c r="J81" s="147" t="n">
        <f aca="false">TRUNC(H81*I81,2)</f>
        <v>28.6</v>
      </c>
      <c r="L81" s="68" t="n">
        <f aca="false">IF(AND(A82&lt;&gt;"",A81=""),L80+1,L80)</f>
        <v>7</v>
      </c>
      <c r="M81" s="101" t="n">
        <f aca="false">IF(OR(A81="Insumo",A81="Composição Auxiliar"),J81,"")</f>
        <v>28.6</v>
      </c>
      <c r="N81" s="102" t="str">
        <f aca="false">IF(ISNUMBER(SEARCH("COM ENCARGOS COMPLEMENTARES",D81)),J81,"")</f>
        <v/>
      </c>
      <c r="O81" s="102" t="n">
        <f aca="false">IF(N81&lt;&gt;"","",M81)</f>
        <v>28.6</v>
      </c>
      <c r="P81" s="103" t="str">
        <f aca="false">IF(A81="Composição",A80,"")</f>
        <v/>
      </c>
      <c r="Q81" s="102" t="str">
        <f aca="false">IF(P81&lt;&gt;"",SUMIF(L81:L181,L81,N81:N181),"")</f>
        <v/>
      </c>
      <c r="R81" s="102" t="str">
        <f aca="false">IF(P81&lt;&gt;"",SUMIF(L81:L181,L81,O81:O181),"")</f>
        <v/>
      </c>
    </row>
    <row r="82" customFormat="false" ht="25" hidden="false" customHeight="true" outlineLevel="0" collapsed="false">
      <c r="A82" s="149"/>
      <c r="B82" s="149"/>
      <c r="C82" s="149"/>
      <c r="D82" s="149"/>
      <c r="E82" s="149"/>
      <c r="F82" s="150"/>
      <c r="G82" s="149"/>
      <c r="H82" s="150"/>
      <c r="I82" s="149"/>
      <c r="J82" s="150"/>
      <c r="L82" s="68" t="n">
        <f aca="false">IF(AND(A83&lt;&gt;"",A82=""),L81+1,L81)</f>
        <v>7</v>
      </c>
      <c r="M82" s="101" t="str">
        <f aca="false">IF(OR(A82="Insumo",A82="Composição Auxiliar"),J82,"")</f>
        <v/>
      </c>
      <c r="N82" s="102" t="str">
        <f aca="false">IF(ISNUMBER(SEARCH("COM ENCARGOS COMPLEMENTARES",D82)),J82,"")</f>
        <v/>
      </c>
      <c r="O82" s="102" t="str">
        <f aca="false">IF(N82&lt;&gt;"","",M82)</f>
        <v/>
      </c>
      <c r="P82" s="103" t="str">
        <f aca="false">IF(A82="Composição",A81,"")</f>
        <v/>
      </c>
      <c r="Q82" s="102" t="str">
        <f aca="false">IF(P82&lt;&gt;"",SUMIF(L82:L182,L82,N82:N182),"")</f>
        <v/>
      </c>
      <c r="R82" s="102" t="str">
        <f aca="false">IF(P82&lt;&gt;"",SUMIF(L82:L182,L82,O82:O182),"")</f>
        <v/>
      </c>
    </row>
    <row r="83" customFormat="false" ht="14.25" hidden="false" customHeight="true" outlineLevel="0" collapsed="false">
      <c r="A83" s="149"/>
      <c r="B83" s="149"/>
      <c r="C83" s="149"/>
      <c r="D83" s="149"/>
      <c r="E83" s="149"/>
      <c r="F83" s="150"/>
      <c r="G83" s="149"/>
      <c r="H83" s="151" t="s">
        <v>135</v>
      </c>
      <c r="I83" s="151"/>
      <c r="J83" s="150" t="n">
        <f aca="false">TRUNC(SUMIF(L:L,$L83,M:M)*(1+$J$9),2)</f>
        <v>43.62</v>
      </c>
      <c r="L83" s="68" t="n">
        <f aca="false">IF(AND(A84&lt;&gt;"",A83=""),L82+1,L82)</f>
        <v>7</v>
      </c>
      <c r="M83" s="101" t="str">
        <f aca="false">IF(OR(A83="Insumo",A83="Composição Auxiliar"),J83,"")</f>
        <v/>
      </c>
      <c r="N83" s="102" t="str">
        <f aca="false">IF(ISNUMBER(SEARCH("COM ENCARGOS COMPLEMENTARES",D83)),J83,"")</f>
        <v/>
      </c>
      <c r="O83" s="102" t="str">
        <f aca="false">IF(N83&lt;&gt;"","",M83)</f>
        <v/>
      </c>
      <c r="P83" s="103" t="str">
        <f aca="false">IF(A83="Composição",A82,"")</f>
        <v/>
      </c>
      <c r="Q83" s="102" t="str">
        <f aca="false">IF(P83&lt;&gt;"",SUMIF(L83:L183,L83,N83:N183),"")</f>
        <v/>
      </c>
      <c r="R83" s="102" t="str">
        <f aca="false">IF(P83&lt;&gt;"",SUMIF(L83:L183,L83,O83:O183),"")</f>
        <v/>
      </c>
    </row>
    <row r="84" customFormat="false" ht="14.15" hidden="false" customHeight="true" outlineLevel="0" collapsed="false">
      <c r="A84" s="152"/>
      <c r="B84" s="152"/>
      <c r="C84" s="152"/>
      <c r="D84" s="152"/>
      <c r="E84" s="152"/>
      <c r="F84" s="152"/>
      <c r="G84" s="152" t="s">
        <v>140</v>
      </c>
      <c r="H84" s="153" t="n">
        <v>5</v>
      </c>
      <c r="I84" s="152" t="s">
        <v>141</v>
      </c>
      <c r="J84" s="154" t="n">
        <f aca="false">TRUNC(J83*H84,2)</f>
        <v>218.1</v>
      </c>
      <c r="L84" s="68" t="n">
        <f aca="false">IF(AND(A85&lt;&gt;"",A84=""),L83+1,L83)</f>
        <v>7</v>
      </c>
      <c r="M84" s="101" t="str">
        <f aca="false">IF(OR(A84="Insumo",A84="Composição Auxiliar"),J84,"")</f>
        <v/>
      </c>
      <c r="N84" s="102" t="str">
        <f aca="false">IF(ISNUMBER(SEARCH("COM ENCARGOS COMPLEMENTARES",D84)),J84,"")</f>
        <v/>
      </c>
      <c r="O84" s="102" t="str">
        <f aca="false">IF(N84&lt;&gt;"","",M84)</f>
        <v/>
      </c>
      <c r="P84" s="103" t="str">
        <f aca="false">IF(A84="Composição",A83,"")</f>
        <v/>
      </c>
      <c r="Q84" s="102" t="str">
        <f aca="false">IF(P84&lt;&gt;"",SUMIF(L84:L184,L84,N84:N184),"")</f>
        <v/>
      </c>
      <c r="R84" s="102" t="str">
        <f aca="false">IF(P84&lt;&gt;"",SUMIF(L84:L184,L84,O84:O184),"")</f>
        <v/>
      </c>
    </row>
    <row r="85" customFormat="false" ht="14.5" hidden="false" customHeight="false" outlineLevel="0" collapsed="false">
      <c r="A85" s="155"/>
      <c r="B85" s="155"/>
      <c r="C85" s="155"/>
      <c r="D85" s="155"/>
      <c r="E85" s="155"/>
      <c r="F85" s="155"/>
      <c r="G85" s="155"/>
      <c r="H85" s="155"/>
      <c r="I85" s="155"/>
      <c r="J85" s="155"/>
      <c r="L85" s="68" t="n">
        <f aca="false">IF(AND(A86&lt;&gt;"",A85=""),L84+1,L84)</f>
        <v>8</v>
      </c>
      <c r="M85" s="101" t="str">
        <f aca="false">IF(OR(A85="Insumo",A85="Composição Auxiliar"),J85,"")</f>
        <v/>
      </c>
      <c r="N85" s="102" t="str">
        <f aca="false">IF(ISNUMBER(SEARCH("COM ENCARGOS COMPLEMENTARES",D85)),J85,"")</f>
        <v/>
      </c>
      <c r="O85" s="102" t="str">
        <f aca="false">IF(N85&lt;&gt;"","",M85)</f>
        <v/>
      </c>
      <c r="P85" s="103" t="str">
        <f aca="false">IF(A85="Composição",A84,"")</f>
        <v/>
      </c>
      <c r="Q85" s="102" t="str">
        <f aca="false">IF(P85&lt;&gt;"",SUMIF(L85:L185,L85,N85:N185),"")</f>
        <v/>
      </c>
      <c r="R85" s="102" t="str">
        <f aca="false">IF(P85&lt;&gt;"",SUMIF(L85:L185,L85,O85:O185),"")</f>
        <v/>
      </c>
    </row>
    <row r="86" customFormat="false" ht="14" hidden="false" customHeight="true" outlineLevel="0" collapsed="false">
      <c r="A86" s="118" t="s">
        <v>55</v>
      </c>
      <c r="B86" s="119" t="s">
        <v>115</v>
      </c>
      <c r="C86" s="118" t="s">
        <v>116</v>
      </c>
      <c r="D86" s="118" t="s">
        <v>117</v>
      </c>
      <c r="E86" s="118" t="s">
        <v>118</v>
      </c>
      <c r="F86" s="118"/>
      <c r="G86" s="120" t="s">
        <v>119</v>
      </c>
      <c r="H86" s="119" t="s">
        <v>120</v>
      </c>
      <c r="I86" s="119" t="s">
        <v>130</v>
      </c>
      <c r="J86" s="119" t="s">
        <v>131</v>
      </c>
      <c r="L86" s="68" t="n">
        <f aca="false">IF(AND(A87&lt;&gt;"",A86=""),L85+1,L85)</f>
        <v>8</v>
      </c>
      <c r="M86" s="101" t="str">
        <f aca="false">IF(OR(A86="Insumo",A86="Composição Auxiliar"),J86,"")</f>
        <v/>
      </c>
      <c r="N86" s="102" t="str">
        <f aca="false">IF(ISNUMBER(SEARCH("COM ENCARGOS COMPLEMENTARES",D86)),J86,"")</f>
        <v/>
      </c>
      <c r="O86" s="102" t="str">
        <f aca="false">IF(N86&lt;&gt;"","",M86)</f>
        <v/>
      </c>
      <c r="P86" s="103" t="str">
        <f aca="false">IF(A86="Composição",A85,"")</f>
        <v/>
      </c>
      <c r="Q86" s="102" t="str">
        <f aca="false">IF(P86&lt;&gt;"",SUMIF(L86:L186,L86,N86:N186),"")</f>
        <v/>
      </c>
      <c r="R86" s="102" t="str">
        <f aca="false">IF(P86&lt;&gt;"",SUMIF(L86:L186,L86,O86:O186),"")</f>
        <v/>
      </c>
    </row>
    <row r="87" customFormat="false" ht="25.5" hidden="false" customHeight="true" outlineLevel="0" collapsed="false">
      <c r="A87" s="122" t="s">
        <v>121</v>
      </c>
      <c r="B87" s="55" t="s">
        <v>56</v>
      </c>
      <c r="C87" s="122" t="s">
        <v>153</v>
      </c>
      <c r="D87" s="122" t="s">
        <v>187</v>
      </c>
      <c r="E87" s="122" t="s">
        <v>170</v>
      </c>
      <c r="F87" s="122"/>
      <c r="G87" s="123" t="s">
        <v>125</v>
      </c>
      <c r="H87" s="124" t="n">
        <v>1</v>
      </c>
      <c r="I87" s="125" t="n">
        <f aca="false">SUMIF(L:L,$L87,M:M)</f>
        <v>277.67</v>
      </c>
      <c r="J87" s="125" t="n">
        <f aca="false">TRUNC(H87*I87,2)</f>
        <v>277.67</v>
      </c>
      <c r="L87" s="68" t="n">
        <f aca="false">IF(AND(A88&lt;&gt;"",A87=""),L86+1,L86)</f>
        <v>8</v>
      </c>
      <c r="M87" s="101" t="str">
        <f aca="false">IF(OR(A87="Insumo",A87="Composição Auxiliar"),J87,"")</f>
        <v/>
      </c>
      <c r="N87" s="102" t="str">
        <f aca="false">IF(ISNUMBER(SEARCH("COM ENCARGOS COMPLEMENTARES",D87)),J87,"")</f>
        <v/>
      </c>
      <c r="O87" s="102" t="str">
        <f aca="false">IF(N87&lt;&gt;"","",M87)</f>
        <v/>
      </c>
      <c r="P87" s="103" t="str">
        <f aca="false">IF(A87="Composição",A86,"")</f>
        <v> 2.2.3 </v>
      </c>
      <c r="Q87" s="102" t="n">
        <f aca="false">IF(P87&lt;&gt;"",SUMIF(L87:L187,L87,N87:N187),"")</f>
        <v>67.97</v>
      </c>
      <c r="R87" s="102" t="n">
        <f aca="false">IF(P87&lt;&gt;"",SUMIF(L87:L187,L87,O87:O187),"")</f>
        <v>209.7</v>
      </c>
    </row>
    <row r="88" customFormat="false" ht="25" hidden="false" customHeight="true" outlineLevel="0" collapsed="false">
      <c r="A88" s="129" t="s">
        <v>126</v>
      </c>
      <c r="B88" s="130" t="s">
        <v>188</v>
      </c>
      <c r="C88" s="129" t="s">
        <v>122</v>
      </c>
      <c r="D88" s="129" t="s">
        <v>189</v>
      </c>
      <c r="E88" s="129" t="s">
        <v>124</v>
      </c>
      <c r="F88" s="129"/>
      <c r="G88" s="131" t="s">
        <v>125</v>
      </c>
      <c r="H88" s="132" t="n">
        <v>1</v>
      </c>
      <c r="I88" s="133" t="n">
        <f aca="false">SUMIFS('ANALÍTICA AUXILIARES'!J:J,'ANALÍTICA AUXILIARES'!A:A,"Composição",'ANALÍTICA AUXILIARES'!B:B,$B88)</f>
        <v>29.31</v>
      </c>
      <c r="J88" s="133" t="n">
        <f aca="false">TRUNC(H88*I88,2)</f>
        <v>29.31</v>
      </c>
      <c r="L88" s="68" t="n">
        <f aca="false">IF(AND(A89&lt;&gt;"",A88=""),L87+1,L87)</f>
        <v>8</v>
      </c>
      <c r="M88" s="101" t="n">
        <f aca="false">IF(OR(A88="Insumo",A88="Composição Auxiliar"),J88,"")</f>
        <v>29.31</v>
      </c>
      <c r="N88" s="102" t="n">
        <f aca="false">IF(ISNUMBER(SEARCH("COM ENCARGOS COMPLEMENTARES",D88)),J88,"")</f>
        <v>29.31</v>
      </c>
      <c r="O88" s="102" t="str">
        <f aca="false">IF(N88&lt;&gt;"","",M88)</f>
        <v/>
      </c>
      <c r="P88" s="103" t="str">
        <f aca="false">IF(A88="Composição",A87,"")</f>
        <v/>
      </c>
      <c r="Q88" s="102" t="str">
        <f aca="false">IF(P88&lt;&gt;"",SUMIF(L88:L188,L88,N88:N188),"")</f>
        <v/>
      </c>
      <c r="R88" s="102" t="str">
        <f aca="false">IF(P88&lt;&gt;"",SUMIF(L88:L188,L88,O88:O188),"")</f>
        <v/>
      </c>
    </row>
    <row r="89" customFormat="false" ht="25" hidden="false" customHeight="true" outlineLevel="0" collapsed="false">
      <c r="A89" s="129" t="s">
        <v>126</v>
      </c>
      <c r="B89" s="130" t="s">
        <v>179</v>
      </c>
      <c r="C89" s="129" t="s">
        <v>122</v>
      </c>
      <c r="D89" s="129" t="s">
        <v>180</v>
      </c>
      <c r="E89" s="129" t="s">
        <v>124</v>
      </c>
      <c r="F89" s="129"/>
      <c r="G89" s="131" t="s">
        <v>125</v>
      </c>
      <c r="H89" s="132" t="n">
        <v>2</v>
      </c>
      <c r="I89" s="133" t="n">
        <f aca="false">SUMIFS('ANALÍTICA AUXILIARES'!J:J,'ANALÍTICA AUXILIARES'!A:A,"Composição",'ANALÍTICA AUXILIARES'!B:B,$B89)</f>
        <v>19.33</v>
      </c>
      <c r="J89" s="133" t="n">
        <f aca="false">TRUNC(H89*I89,2)</f>
        <v>38.66</v>
      </c>
      <c r="L89" s="68" t="n">
        <f aca="false">IF(AND(A90&lt;&gt;"",A89=""),L88+1,L88)</f>
        <v>8</v>
      </c>
      <c r="M89" s="101" t="n">
        <f aca="false">IF(OR(A89="Insumo",A89="Composição Auxiliar"),J89,"")</f>
        <v>38.66</v>
      </c>
      <c r="N89" s="102" t="n">
        <f aca="false">IF(ISNUMBER(SEARCH("COM ENCARGOS COMPLEMENTARES",D89)),J89,"")</f>
        <v>38.66</v>
      </c>
      <c r="O89" s="102" t="str">
        <f aca="false">IF(N89&lt;&gt;"","",M89)</f>
        <v/>
      </c>
      <c r="P89" s="103" t="str">
        <f aca="false">IF(A89="Composição",A88,"")</f>
        <v/>
      </c>
      <c r="Q89" s="102" t="str">
        <f aca="false">IF(P89&lt;&gt;"",SUMIF(L89:L189,L89,N89:N189),"")</f>
        <v/>
      </c>
      <c r="R89" s="102" t="str">
        <f aca="false">IF(P89&lt;&gt;"",SUMIF(L89:L189,L89,O89:O189),"")</f>
        <v/>
      </c>
    </row>
    <row r="90" customFormat="false" ht="14.25" hidden="false" customHeight="true" outlineLevel="0" collapsed="false">
      <c r="A90" s="129" t="s">
        <v>126</v>
      </c>
      <c r="B90" s="130" t="s">
        <v>190</v>
      </c>
      <c r="C90" s="129" t="s">
        <v>122</v>
      </c>
      <c r="D90" s="129" t="s">
        <v>191</v>
      </c>
      <c r="E90" s="129" t="s">
        <v>161</v>
      </c>
      <c r="F90" s="129"/>
      <c r="G90" s="131" t="s">
        <v>165</v>
      </c>
      <c r="H90" s="132" t="n">
        <v>0.7</v>
      </c>
      <c r="I90" s="133" t="n">
        <f aca="false">SUMIFS('ANALÍTICA AUXILIARES'!J:J,'ANALÍTICA AUXILIARES'!A:A,"Composição",'ANALÍTICA AUXILIARES'!B:B,$B90)</f>
        <v>275.08</v>
      </c>
      <c r="J90" s="133" t="n">
        <f aca="false">TRUNC(H90*I90,2)</f>
        <v>192.55</v>
      </c>
      <c r="L90" s="68" t="n">
        <f aca="false">IF(AND(A91&lt;&gt;"",A90=""),L89+1,L89)</f>
        <v>8</v>
      </c>
      <c r="M90" s="101" t="n">
        <f aca="false">IF(OR(A90="Insumo",A90="Composição Auxiliar"),J90,"")</f>
        <v>192.55</v>
      </c>
      <c r="N90" s="102" t="str">
        <f aca="false">IF(ISNUMBER(SEARCH("COM ENCARGOS COMPLEMENTARES",D90)),J90,"")</f>
        <v/>
      </c>
      <c r="O90" s="102" t="n">
        <f aca="false">IF(N90&lt;&gt;"","",M90)</f>
        <v>192.55</v>
      </c>
      <c r="P90" s="103" t="str">
        <f aca="false">IF(A90="Composição",A89,"")</f>
        <v/>
      </c>
      <c r="Q90" s="102" t="str">
        <f aca="false">IF(P90&lt;&gt;"",SUMIF(L90:L190,L90,N90:N190),"")</f>
        <v/>
      </c>
      <c r="R90" s="102" t="str">
        <f aca="false">IF(P90&lt;&gt;"",SUMIF(L90:L190,L90,O90:O190),"")</f>
        <v/>
      </c>
    </row>
    <row r="91" customFormat="false" ht="50" hidden="false" customHeight="true" outlineLevel="0" collapsed="false">
      <c r="A91" s="129" t="s">
        <v>126</v>
      </c>
      <c r="B91" s="130" t="s">
        <v>192</v>
      </c>
      <c r="C91" s="129" t="s">
        <v>122</v>
      </c>
      <c r="D91" s="129" t="s">
        <v>193</v>
      </c>
      <c r="E91" s="129" t="s">
        <v>161</v>
      </c>
      <c r="F91" s="129"/>
      <c r="G91" s="131" t="s">
        <v>162</v>
      </c>
      <c r="H91" s="132" t="n">
        <v>0.3</v>
      </c>
      <c r="I91" s="133" t="n">
        <f aca="false">SUMIFS('ANALÍTICA AUXILIARES'!J:J,'ANALÍTICA AUXILIARES'!A:A,"Composição",'ANALÍTICA AUXILIARES'!B:B,$B91)</f>
        <v>57.17</v>
      </c>
      <c r="J91" s="133" t="n">
        <f aca="false">TRUNC(H91*I91,2)</f>
        <v>17.15</v>
      </c>
      <c r="L91" s="68" t="n">
        <f aca="false">IF(AND(A92&lt;&gt;"",A91=""),L90+1,L90)</f>
        <v>8</v>
      </c>
      <c r="M91" s="101" t="n">
        <f aca="false">IF(OR(A91="Insumo",A91="Composição Auxiliar"),J91,"")</f>
        <v>17.15</v>
      </c>
      <c r="N91" s="102" t="str">
        <f aca="false">IF(ISNUMBER(SEARCH("COM ENCARGOS COMPLEMENTARES",D91)),J91,"")</f>
        <v/>
      </c>
      <c r="O91" s="102" t="n">
        <f aca="false">IF(N91&lt;&gt;"","",M91)</f>
        <v>17.15</v>
      </c>
      <c r="P91" s="103" t="str">
        <f aca="false">IF(A91="Composição",A90,"")</f>
        <v/>
      </c>
      <c r="Q91" s="102" t="str">
        <f aca="false">IF(P91&lt;&gt;"",SUMIF(L91:L191,L91,N91:N191),"")</f>
        <v/>
      </c>
      <c r="R91" s="102" t="str">
        <f aca="false">IF(P91&lt;&gt;"",SUMIF(L91:L191,L91,O91:O191),"")</f>
        <v/>
      </c>
    </row>
    <row r="92" customFormat="false" ht="14" hidden="false" customHeight="false" outlineLevel="0" collapsed="false">
      <c r="A92" s="149"/>
      <c r="B92" s="149"/>
      <c r="C92" s="149"/>
      <c r="D92" s="149"/>
      <c r="E92" s="149"/>
      <c r="F92" s="150"/>
      <c r="G92" s="149"/>
      <c r="H92" s="150"/>
      <c r="I92" s="149"/>
      <c r="J92" s="150"/>
      <c r="L92" s="68" t="n">
        <f aca="false">IF(AND(A93&lt;&gt;"",A92=""),L91+1,L91)</f>
        <v>8</v>
      </c>
      <c r="M92" s="101" t="str">
        <f aca="false">IF(OR(A92="Insumo",A92="Composição Auxiliar"),J92,"")</f>
        <v/>
      </c>
      <c r="N92" s="102" t="str">
        <f aca="false">IF(ISNUMBER(SEARCH("COM ENCARGOS COMPLEMENTARES",D92)),J92,"")</f>
        <v/>
      </c>
      <c r="O92" s="102" t="str">
        <f aca="false">IF(N92&lt;&gt;"","",M92)</f>
        <v/>
      </c>
      <c r="P92" s="103" t="str">
        <f aca="false">IF(A92="Composição",A91,"")</f>
        <v/>
      </c>
      <c r="Q92" s="102" t="str">
        <f aca="false">IF(P92&lt;&gt;"",SUMIF(L92:L192,L92,N92:N192),"")</f>
        <v/>
      </c>
      <c r="R92" s="102" t="str">
        <f aca="false">IF(P92&lt;&gt;"",SUMIF(L92:L192,L92,O92:O192),"")</f>
        <v/>
      </c>
    </row>
    <row r="93" customFormat="false" ht="14.25" hidden="false" customHeight="true" outlineLevel="0" collapsed="false">
      <c r="A93" s="149"/>
      <c r="B93" s="149"/>
      <c r="C93" s="149"/>
      <c r="D93" s="149"/>
      <c r="E93" s="149"/>
      <c r="F93" s="150"/>
      <c r="G93" s="149"/>
      <c r="H93" s="151" t="s">
        <v>135</v>
      </c>
      <c r="I93" s="151"/>
      <c r="J93" s="150" t="n">
        <f aca="false">TRUNC(SUMIF(L:L,$L93,M:M)*(1+$J$9),2)</f>
        <v>339.36</v>
      </c>
      <c r="L93" s="68" t="n">
        <f aca="false">IF(AND(A94&lt;&gt;"",A93=""),L92+1,L92)</f>
        <v>8</v>
      </c>
      <c r="M93" s="101" t="str">
        <f aca="false">IF(OR(A93="Insumo",A93="Composição Auxiliar"),J93,"")</f>
        <v/>
      </c>
      <c r="N93" s="102" t="str">
        <f aca="false">IF(ISNUMBER(SEARCH("COM ENCARGOS COMPLEMENTARES",D93)),J93,"")</f>
        <v/>
      </c>
      <c r="O93" s="102" t="str">
        <f aca="false">IF(N93&lt;&gt;"","",M93)</f>
        <v/>
      </c>
      <c r="P93" s="103" t="str">
        <f aca="false">IF(A93="Composição",A92,"")</f>
        <v/>
      </c>
      <c r="Q93" s="102" t="str">
        <f aca="false">IF(P93&lt;&gt;"",SUMIF(L93:L193,L93,N93:N193),"")</f>
        <v/>
      </c>
      <c r="R93" s="102" t="str">
        <f aca="false">IF(P93&lt;&gt;"",SUMIF(L93:L193,L93,O93:O193),"")</f>
        <v/>
      </c>
    </row>
    <row r="94" customFormat="false" ht="14.25" hidden="false" customHeight="true" outlineLevel="0" collapsed="false">
      <c r="A94" s="152"/>
      <c r="B94" s="152"/>
      <c r="C94" s="152"/>
      <c r="D94" s="152"/>
      <c r="E94" s="152"/>
      <c r="F94" s="152"/>
      <c r="G94" s="152" t="s">
        <v>140</v>
      </c>
      <c r="H94" s="153" t="n">
        <v>8</v>
      </c>
      <c r="I94" s="152" t="s">
        <v>141</v>
      </c>
      <c r="J94" s="154" t="n">
        <f aca="false">TRUNC(J93*H94,2)</f>
        <v>2714.88</v>
      </c>
      <c r="L94" s="68" t="n">
        <f aca="false">IF(AND(A95&lt;&gt;"",A94=""),L93+1,L93)</f>
        <v>8</v>
      </c>
      <c r="M94" s="101" t="str">
        <f aca="false">IF(OR(A94="Insumo",A94="Composição Auxiliar"),J94,"")</f>
        <v/>
      </c>
      <c r="N94" s="102" t="str">
        <f aca="false">IF(ISNUMBER(SEARCH("COM ENCARGOS COMPLEMENTARES",D94)),J94,"")</f>
        <v/>
      </c>
      <c r="O94" s="102" t="str">
        <f aca="false">IF(N94&lt;&gt;"","",M94)</f>
        <v/>
      </c>
      <c r="P94" s="103" t="str">
        <f aca="false">IF(A94="Composição",A93,"")</f>
        <v/>
      </c>
      <c r="Q94" s="102" t="str">
        <f aca="false">IF(P94&lt;&gt;"",SUMIF(L94:L194,L94,N94:N194),"")</f>
        <v/>
      </c>
      <c r="R94" s="102" t="str">
        <f aca="false">IF(P94&lt;&gt;"",SUMIF(L94:L194,L94,O94:O194),"")</f>
        <v/>
      </c>
    </row>
    <row r="95" customFormat="false" ht="14.5" hidden="false" customHeight="false" outlineLevel="0" collapsed="false">
      <c r="A95" s="155"/>
      <c r="B95" s="155"/>
      <c r="C95" s="155"/>
      <c r="D95" s="155"/>
      <c r="E95" s="155"/>
      <c r="F95" s="155"/>
      <c r="G95" s="155"/>
      <c r="H95" s="155"/>
      <c r="I95" s="155"/>
      <c r="J95" s="155"/>
      <c r="L95" s="68" t="n">
        <f aca="false">IF(AND(A96&lt;&gt;"",A95=""),L94+1,L94)</f>
        <v>9</v>
      </c>
      <c r="M95" s="101" t="str">
        <f aca="false">IF(OR(A95="Insumo",A95="Composição Auxiliar"),J95,"")</f>
        <v/>
      </c>
      <c r="N95" s="102" t="str">
        <f aca="false">IF(ISNUMBER(SEARCH("COM ENCARGOS COMPLEMENTARES",D95)),J95,"")</f>
        <v/>
      </c>
      <c r="O95" s="102" t="str">
        <f aca="false">IF(N95&lt;&gt;"","",M95)</f>
        <v/>
      </c>
      <c r="P95" s="103" t="str">
        <f aca="false">IF(A95="Composição",A94,"")</f>
        <v/>
      </c>
      <c r="Q95" s="102" t="str">
        <f aca="false">IF(P95&lt;&gt;"",SUMIF(L95:L195,L95,N95:N195),"")</f>
        <v/>
      </c>
      <c r="R95" s="102" t="str">
        <f aca="false">IF(P95&lt;&gt;"",SUMIF(L95:L195,L95,O95:O195),"")</f>
        <v/>
      </c>
    </row>
    <row r="96" customFormat="false" ht="14" hidden="false" customHeight="false" outlineLevel="0" collapsed="false">
      <c r="A96" s="97" t="s">
        <v>57</v>
      </c>
      <c r="B96" s="97"/>
      <c r="C96" s="97"/>
      <c r="D96" s="97" t="s">
        <v>58</v>
      </c>
      <c r="E96" s="97"/>
      <c r="F96" s="97"/>
      <c r="G96" s="97"/>
      <c r="H96" s="98"/>
      <c r="I96" s="97"/>
      <c r="J96" s="99"/>
      <c r="L96" s="68" t="n">
        <f aca="false">IF(AND(A97&lt;&gt;"",A96=""),L95+1,L95)</f>
        <v>9</v>
      </c>
      <c r="M96" s="101" t="str">
        <f aca="false">IF(OR(A96="Insumo",A96="Composição Auxiliar"),J96,"")</f>
        <v/>
      </c>
      <c r="N96" s="102" t="str">
        <f aca="false">IF(ISNUMBER(SEARCH("COM ENCARGOS COMPLEMENTARES",D96)),J96,"")</f>
        <v/>
      </c>
      <c r="O96" s="102" t="str">
        <f aca="false">IF(N96&lt;&gt;"","",M96)</f>
        <v/>
      </c>
      <c r="P96" s="103" t="str">
        <f aca="false">IF(A96="Composição",A95,"")</f>
        <v/>
      </c>
      <c r="Q96" s="102" t="str">
        <f aca="false">IF(P96&lt;&gt;"",SUMIF(L96:L196,L96,N96:N196),"")</f>
        <v/>
      </c>
      <c r="R96" s="102" t="str">
        <f aca="false">IF(P96&lt;&gt;"",SUMIF(L96:L196,L96,O96:O196),"")</f>
        <v/>
      </c>
    </row>
    <row r="97" customFormat="false" ht="38.25" hidden="false" customHeight="true" outlineLevel="0" collapsed="false">
      <c r="A97" s="118" t="s">
        <v>59</v>
      </c>
      <c r="B97" s="119" t="s">
        <v>115</v>
      </c>
      <c r="C97" s="118" t="s">
        <v>116</v>
      </c>
      <c r="D97" s="118" t="s">
        <v>117</v>
      </c>
      <c r="E97" s="118" t="s">
        <v>118</v>
      </c>
      <c r="F97" s="118"/>
      <c r="G97" s="120" t="s">
        <v>119</v>
      </c>
      <c r="H97" s="119" t="s">
        <v>120</v>
      </c>
      <c r="I97" s="119" t="s">
        <v>130</v>
      </c>
      <c r="J97" s="119" t="s">
        <v>131</v>
      </c>
      <c r="L97" s="68" t="n">
        <f aca="false">IF(AND(A98&lt;&gt;"",A97=""),L96+1,L96)</f>
        <v>9</v>
      </c>
      <c r="M97" s="101" t="str">
        <f aca="false">IF(OR(A97="Insumo",A97="Composição Auxiliar"),J97,"")</f>
        <v/>
      </c>
      <c r="N97" s="102" t="str">
        <f aca="false">IF(ISNUMBER(SEARCH("COM ENCARGOS COMPLEMENTARES",D97)),J97,"")</f>
        <v/>
      </c>
      <c r="O97" s="102" t="str">
        <f aca="false">IF(N97&lt;&gt;"","",M97)</f>
        <v/>
      </c>
      <c r="P97" s="103" t="str">
        <f aca="false">IF(A97="Composição",A96,"")</f>
        <v/>
      </c>
      <c r="Q97" s="102" t="str">
        <f aca="false">IF(P97&lt;&gt;"",SUMIF(L97:L197,L97,N97:N197),"")</f>
        <v/>
      </c>
      <c r="R97" s="102" t="str">
        <f aca="false">IF(P97&lt;&gt;"",SUMIF(L97:L197,L97,O97:O197),"")</f>
        <v/>
      </c>
    </row>
    <row r="98" customFormat="false" ht="25.5" hidden="false" customHeight="true" outlineLevel="0" collapsed="false">
      <c r="A98" s="122" t="s">
        <v>121</v>
      </c>
      <c r="B98" s="55" t="s">
        <v>60</v>
      </c>
      <c r="C98" s="122" t="s">
        <v>153</v>
      </c>
      <c r="D98" s="122" t="s">
        <v>194</v>
      </c>
      <c r="E98" s="122" t="s">
        <v>170</v>
      </c>
      <c r="F98" s="122"/>
      <c r="G98" s="123" t="s">
        <v>195</v>
      </c>
      <c r="H98" s="124" t="n">
        <v>1</v>
      </c>
      <c r="I98" s="125" t="n">
        <f aca="false">SUMIF(L:L,$L98,M:M)</f>
        <v>100.22</v>
      </c>
      <c r="J98" s="125" t="n">
        <f aca="false">TRUNC(H98*I98,2)</f>
        <v>100.22</v>
      </c>
      <c r="L98" s="68" t="n">
        <f aca="false">IF(AND(A99&lt;&gt;"",A98=""),L97+1,L97)</f>
        <v>9</v>
      </c>
      <c r="M98" s="101" t="str">
        <f aca="false">IF(OR(A98="Insumo",A98="Composição Auxiliar"),J98,"")</f>
        <v/>
      </c>
      <c r="N98" s="102" t="str">
        <f aca="false">IF(ISNUMBER(SEARCH("COM ENCARGOS COMPLEMENTARES",D98)),J98,"")</f>
        <v/>
      </c>
      <c r="O98" s="102" t="str">
        <f aca="false">IF(N98&lt;&gt;"","",M98)</f>
        <v/>
      </c>
      <c r="P98" s="103" t="str">
        <f aca="false">IF(A98="Composição",A97,"")</f>
        <v> 2.3.1 </v>
      </c>
      <c r="Q98" s="102" t="n">
        <f aca="false">IF(P98&lt;&gt;"",SUMIF(L98:L198,L98,N98:N198),"")</f>
        <v>10.13</v>
      </c>
      <c r="R98" s="102" t="n">
        <f aca="false">IF(P98&lt;&gt;"",SUMIF(L98:L198,L98,O98:O198),"")</f>
        <v>90.09</v>
      </c>
    </row>
    <row r="99" customFormat="false" ht="25" hidden="false" customHeight="true" outlineLevel="0" collapsed="false">
      <c r="A99" s="129" t="s">
        <v>126</v>
      </c>
      <c r="B99" s="130" t="s">
        <v>181</v>
      </c>
      <c r="C99" s="129" t="s">
        <v>122</v>
      </c>
      <c r="D99" s="129" t="s">
        <v>182</v>
      </c>
      <c r="E99" s="129" t="s">
        <v>124</v>
      </c>
      <c r="F99" s="129"/>
      <c r="G99" s="131" t="s">
        <v>125</v>
      </c>
      <c r="H99" s="132" t="n">
        <v>0.22</v>
      </c>
      <c r="I99" s="133" t="n">
        <f aca="false">SUMIFS('ANALÍTICA AUXILIARES'!J:J,'ANALÍTICA AUXILIARES'!A:A,"Composição",'ANALÍTICA AUXILIARES'!B:B,$B99)</f>
        <v>26.75</v>
      </c>
      <c r="J99" s="133" t="n">
        <f aca="false">TRUNC(H99*I99,2)</f>
        <v>5.88</v>
      </c>
      <c r="L99" s="68" t="n">
        <f aca="false">IF(AND(A100&lt;&gt;"",A99=""),L98+1,L98)</f>
        <v>9</v>
      </c>
      <c r="M99" s="101" t="n">
        <f aca="false">IF(OR(A99="Insumo",A99="Composição Auxiliar"),J99,"")</f>
        <v>5.88</v>
      </c>
      <c r="N99" s="102" t="n">
        <f aca="false">IF(ISNUMBER(SEARCH("COM ENCARGOS COMPLEMENTARES",D99)),J99,"")</f>
        <v>5.88</v>
      </c>
      <c r="O99" s="102" t="str">
        <f aca="false">IF(N99&lt;&gt;"","",M99)</f>
        <v/>
      </c>
      <c r="P99" s="103" t="str">
        <f aca="false">IF(A99="Composição",A98,"")</f>
        <v/>
      </c>
      <c r="Q99" s="102" t="str">
        <f aca="false">IF(P99&lt;&gt;"",SUMIF(L99:L199,L99,N99:N199),"")</f>
        <v/>
      </c>
      <c r="R99" s="102" t="str">
        <f aca="false">IF(P99&lt;&gt;"",SUMIF(L99:L199,L99,O99:O199),"")</f>
        <v/>
      </c>
    </row>
    <row r="100" customFormat="false" ht="25.5" hidden="false" customHeight="true" outlineLevel="0" collapsed="false">
      <c r="A100" s="129" t="s">
        <v>126</v>
      </c>
      <c r="B100" s="130" t="s">
        <v>179</v>
      </c>
      <c r="C100" s="129" t="s">
        <v>122</v>
      </c>
      <c r="D100" s="129" t="s">
        <v>180</v>
      </c>
      <c r="E100" s="129" t="s">
        <v>124</v>
      </c>
      <c r="F100" s="129"/>
      <c r="G100" s="131" t="s">
        <v>125</v>
      </c>
      <c r="H100" s="132" t="n">
        <v>0.22</v>
      </c>
      <c r="I100" s="133" t="n">
        <f aca="false">SUMIFS('ANALÍTICA AUXILIARES'!J:J,'ANALÍTICA AUXILIARES'!A:A,"Composição",'ANALÍTICA AUXILIARES'!B:B,$B100)</f>
        <v>19.33</v>
      </c>
      <c r="J100" s="133" t="n">
        <f aca="false">TRUNC(H100*I100,2)</f>
        <v>4.25</v>
      </c>
      <c r="L100" s="68" t="n">
        <f aca="false">IF(AND(A101&lt;&gt;"",A100=""),L99+1,L99)</f>
        <v>9</v>
      </c>
      <c r="M100" s="101" t="n">
        <f aca="false">IF(OR(A100="Insumo",A100="Composição Auxiliar"),J100,"")</f>
        <v>4.25</v>
      </c>
      <c r="N100" s="102" t="n">
        <f aca="false">IF(ISNUMBER(SEARCH("COM ENCARGOS COMPLEMENTARES",D100)),J100,"")</f>
        <v>4.25</v>
      </c>
      <c r="O100" s="102" t="str">
        <f aca="false">IF(N100&lt;&gt;"","",M100)</f>
        <v/>
      </c>
      <c r="P100" s="103" t="str">
        <f aca="false">IF(A100="Composição",A99,"")</f>
        <v/>
      </c>
      <c r="Q100" s="102" t="str">
        <f aca="false">IF(P100&lt;&gt;"",SUMIF(L100:L200,L100,N100:N200),"")</f>
        <v/>
      </c>
      <c r="R100" s="102" t="str">
        <f aca="false">IF(P100&lt;&gt;"",SUMIF(L100:L200,L100,O100:O200),"")</f>
        <v/>
      </c>
    </row>
    <row r="101" customFormat="false" ht="25.5" hidden="false" customHeight="true" outlineLevel="0" collapsed="false">
      <c r="A101" s="143" t="s">
        <v>128</v>
      </c>
      <c r="B101" s="144" t="s">
        <v>196</v>
      </c>
      <c r="C101" s="143" t="str">
        <f aca="false">VLOOKUP(B101,INSUMOS!$A:$I,2,0)</f>
        <v>CPOS</v>
      </c>
      <c r="D101" s="143" t="str">
        <f aca="false">VLOOKUP(B101,INSUMOS!$A:$I,3,0)</f>
        <v>Eletroduto galvanizado por imersão a quente, DN = 2´ - NBR5598</v>
      </c>
      <c r="E101" s="143" t="str">
        <f aca="false">VLOOKUP(B101,INSUMOS!$A:$I,4,0)</f>
        <v>Material</v>
      </c>
      <c r="F101" s="143"/>
      <c r="G101" s="145" t="str">
        <f aca="false">VLOOKUP(B101,INSUMOS!$A:$I,5,0)</f>
        <v>M</v>
      </c>
      <c r="H101" s="146" t="n">
        <v>1.2</v>
      </c>
      <c r="I101" s="147" t="n">
        <f aca="false">VLOOKUP(B101,INSUMOS!$A:$I,8,0)</f>
        <v>75.08</v>
      </c>
      <c r="J101" s="147" t="n">
        <f aca="false">TRUNC(H101*I101,2)</f>
        <v>90.09</v>
      </c>
      <c r="L101" s="68" t="n">
        <f aca="false">IF(AND(A102&lt;&gt;"",A101=""),L100+1,L100)</f>
        <v>9</v>
      </c>
      <c r="M101" s="101" t="n">
        <f aca="false">IF(OR(A101="Insumo",A101="Composição Auxiliar"),J101,"")</f>
        <v>90.09</v>
      </c>
      <c r="N101" s="102" t="str">
        <f aca="false">IF(ISNUMBER(SEARCH("COM ENCARGOS COMPLEMENTARES",D101)),J101,"")</f>
        <v/>
      </c>
      <c r="O101" s="102" t="n">
        <f aca="false">IF(N101&lt;&gt;"","",M101)</f>
        <v>90.09</v>
      </c>
      <c r="P101" s="103" t="str">
        <f aca="false">IF(A101="Composição",A100,"")</f>
        <v/>
      </c>
      <c r="Q101" s="102" t="str">
        <f aca="false">IF(P101&lt;&gt;"",SUMIF(L101:L201,L101,N101:N201),"")</f>
        <v/>
      </c>
      <c r="R101" s="102" t="str">
        <f aca="false">IF(P101&lt;&gt;"",SUMIF(L101:L201,L101,O101:O201),"")</f>
        <v/>
      </c>
    </row>
    <row r="102" customFormat="false" ht="14.15" hidden="false" customHeight="true" outlineLevel="0" collapsed="false">
      <c r="A102" s="149"/>
      <c r="B102" s="149"/>
      <c r="C102" s="149"/>
      <c r="D102" s="149"/>
      <c r="E102" s="149"/>
      <c r="F102" s="150"/>
      <c r="G102" s="149"/>
      <c r="H102" s="150"/>
      <c r="I102" s="149"/>
      <c r="J102" s="150"/>
      <c r="L102" s="68" t="n">
        <f aca="false">IF(AND(A103&lt;&gt;"",A102=""),L101+1,L101)</f>
        <v>9</v>
      </c>
      <c r="M102" s="101" t="str">
        <f aca="false">IF(OR(A102="Insumo",A102="Composição Auxiliar"),J102,"")</f>
        <v/>
      </c>
      <c r="N102" s="102" t="str">
        <f aca="false">IF(ISNUMBER(SEARCH("COM ENCARGOS COMPLEMENTARES",D102)),J102,"")</f>
        <v/>
      </c>
      <c r="O102" s="102" t="str">
        <f aca="false">IF(N102&lt;&gt;"","",M102)</f>
        <v/>
      </c>
      <c r="P102" s="103" t="str">
        <f aca="false">IF(A102="Composição",A101,"")</f>
        <v/>
      </c>
      <c r="Q102" s="102" t="str">
        <f aca="false">IF(P102&lt;&gt;"",SUMIF(L102:L202,L102,N102:N202),"")</f>
        <v/>
      </c>
      <c r="R102" s="102" t="str">
        <f aca="false">IF(P102&lt;&gt;"",SUMIF(L102:L202,L102,O102:O202),"")</f>
        <v/>
      </c>
    </row>
    <row r="103" customFormat="false" ht="14.25" hidden="false" customHeight="true" outlineLevel="0" collapsed="false">
      <c r="A103" s="149"/>
      <c r="B103" s="149"/>
      <c r="C103" s="149"/>
      <c r="D103" s="149"/>
      <c r="E103" s="149"/>
      <c r="F103" s="150"/>
      <c r="G103" s="149"/>
      <c r="H103" s="151" t="s">
        <v>135</v>
      </c>
      <c r="I103" s="151"/>
      <c r="J103" s="150" t="n">
        <f aca="false">TRUNC(SUMIF(L:L,$L103,M:M)*(1+$J$9),2)</f>
        <v>122.48</v>
      </c>
      <c r="L103" s="68" t="n">
        <f aca="false">IF(AND(A104&lt;&gt;"",A103=""),L102+1,L102)</f>
        <v>9</v>
      </c>
      <c r="M103" s="101" t="str">
        <f aca="false">IF(OR(A103="Insumo",A103="Composição Auxiliar"),J103,"")</f>
        <v/>
      </c>
      <c r="N103" s="102" t="str">
        <f aca="false">IF(ISNUMBER(SEARCH("COM ENCARGOS COMPLEMENTARES",D103)),J103,"")</f>
        <v/>
      </c>
      <c r="O103" s="102" t="str">
        <f aca="false">IF(N103&lt;&gt;"","",M103)</f>
        <v/>
      </c>
      <c r="P103" s="103" t="str">
        <f aca="false">IF(A103="Composição",A102,"")</f>
        <v/>
      </c>
      <c r="Q103" s="102" t="str">
        <f aca="false">IF(P103&lt;&gt;"",SUMIF(L103:L203,L103,N103:N203),"")</f>
        <v/>
      </c>
      <c r="R103" s="102" t="str">
        <f aca="false">IF(P103&lt;&gt;"",SUMIF(L103:L203,L103,O103:O203),"")</f>
        <v/>
      </c>
    </row>
    <row r="104" customFormat="false" ht="14.5" hidden="false" customHeight="false" outlineLevel="0" collapsed="false">
      <c r="A104" s="152"/>
      <c r="B104" s="152"/>
      <c r="C104" s="152"/>
      <c r="D104" s="152"/>
      <c r="E104" s="152"/>
      <c r="F104" s="152"/>
      <c r="G104" s="152" t="s">
        <v>140</v>
      </c>
      <c r="H104" s="153" t="n">
        <v>88</v>
      </c>
      <c r="I104" s="152" t="s">
        <v>141</v>
      </c>
      <c r="J104" s="154" t="n">
        <f aca="false">TRUNC(J103*H104,2)</f>
        <v>10778.24</v>
      </c>
      <c r="L104" s="68" t="n">
        <f aca="false">IF(AND(A105&lt;&gt;"",A104=""),L103+1,L103)</f>
        <v>9</v>
      </c>
      <c r="M104" s="101" t="str">
        <f aca="false">IF(OR(A104="Insumo",A104="Composição Auxiliar"),J104,"")</f>
        <v/>
      </c>
      <c r="N104" s="102" t="str">
        <f aca="false">IF(ISNUMBER(SEARCH("COM ENCARGOS COMPLEMENTARES",D104)),J104,"")</f>
        <v/>
      </c>
      <c r="O104" s="102" t="str">
        <f aca="false">IF(N104&lt;&gt;"","",M104)</f>
        <v/>
      </c>
      <c r="P104" s="103" t="str">
        <f aca="false">IF(A104="Composição",A103,"")</f>
        <v/>
      </c>
      <c r="Q104" s="102" t="str">
        <f aca="false">IF(P104&lt;&gt;"",SUMIF(L104:L237,L104,N104:N237),"")</f>
        <v/>
      </c>
      <c r="R104" s="102" t="str">
        <f aca="false">IF(P104&lt;&gt;"",SUMIF(L104:L237,L104,O104:O237),"")</f>
        <v/>
      </c>
    </row>
    <row r="105" customFormat="false" ht="14.5" hidden="false" customHeight="false" outlineLevel="0" collapsed="false">
      <c r="A105" s="155"/>
      <c r="B105" s="155"/>
      <c r="C105" s="155"/>
      <c r="D105" s="155"/>
      <c r="E105" s="155"/>
      <c r="F105" s="155"/>
      <c r="G105" s="155"/>
      <c r="H105" s="155"/>
      <c r="I105" s="155"/>
      <c r="J105" s="155"/>
      <c r="L105" s="68" t="n">
        <f aca="false">IF(AND(A106&lt;&gt;"",A105=""),L104+1,L104)</f>
        <v>10</v>
      </c>
      <c r="M105" s="101" t="str">
        <f aca="false">IF(OR(A105="Insumo",A105="Composição Auxiliar"),J105,"")</f>
        <v/>
      </c>
      <c r="N105" s="102" t="str">
        <f aca="false">IF(ISNUMBER(SEARCH("COM ENCARGOS COMPLEMENTARES",D105)),J105,"")</f>
        <v/>
      </c>
      <c r="O105" s="102" t="str">
        <f aca="false">IF(N105&lt;&gt;"","",M105)</f>
        <v/>
      </c>
      <c r="P105" s="103" t="str">
        <f aca="false">IF(A105="Composição",A104,"")</f>
        <v/>
      </c>
      <c r="Q105" s="102" t="str">
        <f aca="false">IF(P105&lt;&gt;"",SUMIF(L105:L238,L105,N105:N238),"")</f>
        <v/>
      </c>
      <c r="R105" s="102" t="str">
        <f aca="false">IF(P105&lt;&gt;"",SUMIF(L105:L238,L105,O105:O238),"")</f>
        <v/>
      </c>
    </row>
    <row r="106" customFormat="false" ht="25" hidden="false" customHeight="true" outlineLevel="0" collapsed="false">
      <c r="A106" s="118" t="s">
        <v>61</v>
      </c>
      <c r="B106" s="119" t="s">
        <v>115</v>
      </c>
      <c r="C106" s="118" t="s">
        <v>116</v>
      </c>
      <c r="D106" s="118" t="s">
        <v>117</v>
      </c>
      <c r="E106" s="118" t="s">
        <v>118</v>
      </c>
      <c r="F106" s="118"/>
      <c r="G106" s="120" t="s">
        <v>119</v>
      </c>
      <c r="H106" s="119" t="s">
        <v>120</v>
      </c>
      <c r="I106" s="119" t="s">
        <v>130</v>
      </c>
      <c r="J106" s="119" t="s">
        <v>131</v>
      </c>
      <c r="L106" s="68" t="n">
        <f aca="false">IF(AND(A107&lt;&gt;"",A106=""),L105+1,L105)</f>
        <v>10</v>
      </c>
      <c r="M106" s="101" t="str">
        <f aca="false">IF(OR(A106="Insumo",A106="Composição Auxiliar"),J106,"")</f>
        <v/>
      </c>
      <c r="N106" s="102" t="str">
        <f aca="false">IF(ISNUMBER(SEARCH("COM ENCARGOS COMPLEMENTARES",D106)),J106,"")</f>
        <v/>
      </c>
      <c r="O106" s="102" t="str">
        <f aca="false">IF(N106&lt;&gt;"","",M106)</f>
        <v/>
      </c>
      <c r="P106" s="103" t="str">
        <f aca="false">IF(A106="Composição",A105,"")</f>
        <v/>
      </c>
      <c r="Q106" s="102" t="str">
        <f aca="false">IF(P106&lt;&gt;"",SUMIF(L106:L239,L106,N106:N239),"")</f>
        <v/>
      </c>
      <c r="R106" s="102" t="str">
        <f aca="false">IF(P106&lt;&gt;"",SUMIF(L106:L239,L106,O106:O239),"")</f>
        <v/>
      </c>
    </row>
    <row r="107" customFormat="false" ht="25.5" hidden="false" customHeight="true" outlineLevel="0" collapsed="false">
      <c r="A107" s="122" t="s">
        <v>121</v>
      </c>
      <c r="B107" s="55" t="s">
        <v>62</v>
      </c>
      <c r="C107" s="122" t="s">
        <v>153</v>
      </c>
      <c r="D107" s="122" t="s">
        <v>197</v>
      </c>
      <c r="E107" s="122" t="s">
        <v>170</v>
      </c>
      <c r="F107" s="122"/>
      <c r="G107" s="123" t="s">
        <v>171</v>
      </c>
      <c r="H107" s="124" t="n">
        <v>1</v>
      </c>
      <c r="I107" s="125" t="n">
        <f aca="false">SUMIF(L:L,$L107,M:M)</f>
        <v>49.49</v>
      </c>
      <c r="J107" s="125" t="n">
        <f aca="false">TRUNC(H107*I107,2)</f>
        <v>49.49</v>
      </c>
      <c r="L107" s="68" t="n">
        <f aca="false">IF(AND(A108&lt;&gt;"",A107=""),L106+1,L106)</f>
        <v>10</v>
      </c>
      <c r="M107" s="101" t="str">
        <f aca="false">IF(OR(A107="Insumo",A107="Composição Auxiliar"),J107,"")</f>
        <v/>
      </c>
      <c r="N107" s="102" t="str">
        <f aca="false">IF(ISNUMBER(SEARCH("COM ENCARGOS COMPLEMENTARES",D107)),J107,"")</f>
        <v/>
      </c>
      <c r="O107" s="102" t="str">
        <f aca="false">IF(N107&lt;&gt;"","",M107)</f>
        <v/>
      </c>
      <c r="P107" s="103" t="str">
        <f aca="false">IF(A107="Composição",A106,"")</f>
        <v> 2.3.2 </v>
      </c>
      <c r="Q107" s="102" t="n">
        <f aca="false">IF(P107&lt;&gt;"",SUMIF(L107:L239,L107,N107:N239),"")</f>
        <v>6.9</v>
      </c>
      <c r="R107" s="102" t="n">
        <f aca="false">IF(P107&lt;&gt;"",SUMIF(L107:L239,L107,O107:O239),"")</f>
        <v>42.59</v>
      </c>
    </row>
    <row r="108" customFormat="false" ht="25" hidden="false" customHeight="true" outlineLevel="0" collapsed="false">
      <c r="A108" s="129" t="s">
        <v>126</v>
      </c>
      <c r="B108" s="130" t="s">
        <v>181</v>
      </c>
      <c r="C108" s="129" t="s">
        <v>122</v>
      </c>
      <c r="D108" s="129" t="s">
        <v>182</v>
      </c>
      <c r="E108" s="129" t="s">
        <v>124</v>
      </c>
      <c r="F108" s="129"/>
      <c r="G108" s="131" t="s">
        <v>125</v>
      </c>
      <c r="H108" s="132" t="n">
        <v>0.15</v>
      </c>
      <c r="I108" s="133" t="n">
        <f aca="false">SUMIFS('ANALÍTICA AUXILIARES'!J:J,'ANALÍTICA AUXILIARES'!A:A,"Composição",'ANALÍTICA AUXILIARES'!B:B,$B108)</f>
        <v>26.75</v>
      </c>
      <c r="J108" s="133" t="n">
        <f aca="false">TRUNC(H108*I108,2)</f>
        <v>4.01</v>
      </c>
      <c r="L108" s="68" t="n">
        <f aca="false">IF(AND(A109&lt;&gt;"",A108=""),L107+1,L107)</f>
        <v>10</v>
      </c>
      <c r="M108" s="101" t="n">
        <f aca="false">IF(OR(A108="Insumo",A108="Composição Auxiliar"),J108,"")</f>
        <v>4.01</v>
      </c>
      <c r="N108" s="102" t="n">
        <f aca="false">IF(ISNUMBER(SEARCH("COM ENCARGOS COMPLEMENTARES",D108)),J108,"")</f>
        <v>4.01</v>
      </c>
      <c r="O108" s="102" t="str">
        <f aca="false">IF(N108&lt;&gt;"","",M108)</f>
        <v/>
      </c>
      <c r="P108" s="103" t="str">
        <f aca="false">IF(A108="Composição",A107,"")</f>
        <v/>
      </c>
      <c r="Q108" s="102" t="str">
        <f aca="false">IF(P108&lt;&gt;"",SUMIF(L108:L239,L108,N108:N239),"")</f>
        <v/>
      </c>
      <c r="R108" s="102" t="str">
        <f aca="false">IF(P108&lt;&gt;"",SUMIF(L108:L239,L108,O108:O239),"")</f>
        <v/>
      </c>
    </row>
    <row r="109" customFormat="false" ht="38.25" hidden="false" customHeight="true" outlineLevel="0" collapsed="false">
      <c r="A109" s="129" t="s">
        <v>126</v>
      </c>
      <c r="B109" s="130" t="s">
        <v>179</v>
      </c>
      <c r="C109" s="129" t="s">
        <v>122</v>
      </c>
      <c r="D109" s="129" t="s">
        <v>180</v>
      </c>
      <c r="E109" s="129" t="s">
        <v>124</v>
      </c>
      <c r="F109" s="129"/>
      <c r="G109" s="131" t="s">
        <v>125</v>
      </c>
      <c r="H109" s="132" t="n">
        <v>0.15</v>
      </c>
      <c r="I109" s="133" t="n">
        <f aca="false">SUMIFS('ANALÍTICA AUXILIARES'!J:J,'ANALÍTICA AUXILIARES'!A:A,"Composição",'ANALÍTICA AUXILIARES'!B:B,$B109)</f>
        <v>19.33</v>
      </c>
      <c r="J109" s="133" t="n">
        <f aca="false">TRUNC(H109*I109,2)</f>
        <v>2.89</v>
      </c>
      <c r="L109" s="68" t="n">
        <f aca="false">IF(AND(A110&lt;&gt;"",A109=""),L108+1,L108)</f>
        <v>10</v>
      </c>
      <c r="M109" s="101" t="n">
        <f aca="false">IF(OR(A109="Insumo",A109="Composição Auxiliar"),J109,"")</f>
        <v>2.89</v>
      </c>
      <c r="N109" s="102" t="n">
        <f aca="false">IF(ISNUMBER(SEARCH("COM ENCARGOS COMPLEMENTARES",D109)),J109,"")</f>
        <v>2.89</v>
      </c>
      <c r="O109" s="102" t="str">
        <f aca="false">IF(N109&lt;&gt;"","",M109)</f>
        <v/>
      </c>
      <c r="P109" s="103" t="str">
        <f aca="false">IF(A109="Composição",A108,"")</f>
        <v/>
      </c>
      <c r="Q109" s="102" t="str">
        <f aca="false">IF(P109&lt;&gt;"",SUMIF(L109:L239,L109,N109:N239),"")</f>
        <v/>
      </c>
      <c r="R109" s="102" t="str">
        <f aca="false">IF(P109&lt;&gt;"",SUMIF(L109:L239,L109,O109:O239),"")</f>
        <v/>
      </c>
    </row>
    <row r="110" customFormat="false" ht="14.15" hidden="false" customHeight="true" outlineLevel="0" collapsed="false">
      <c r="A110" s="143" t="s">
        <v>128</v>
      </c>
      <c r="B110" s="144" t="s">
        <v>198</v>
      </c>
      <c r="C110" s="143" t="str">
        <f aca="false">VLOOKUP(B110,INSUMOS!$A:$I,2,0)</f>
        <v>SINAPI</v>
      </c>
      <c r="D110" s="143" t="str">
        <f aca="false">VLOOKUP(B110,INSUMOS!$A:$I,3,0)</f>
        <v>CONDULETE DE ALUMINIO TIPO X, PARA ELETRODUTO ROSCAVEL DE 2", COM TAMPA CEGA</v>
      </c>
      <c r="E110" s="143" t="str">
        <f aca="false">VLOOKUP(B110,INSUMOS!$A:$I,4,0)</f>
        <v>Material</v>
      </c>
      <c r="F110" s="143"/>
      <c r="G110" s="145" t="str">
        <f aca="false">VLOOKUP(B110,INSUMOS!$A:$I,5,0)</f>
        <v>UN</v>
      </c>
      <c r="H110" s="146" t="n">
        <v>1</v>
      </c>
      <c r="I110" s="147" t="n">
        <f aca="false">VLOOKUP(B110,INSUMOS!$A:$I,8,0)</f>
        <v>42.59</v>
      </c>
      <c r="J110" s="147" t="n">
        <f aca="false">TRUNC(H110*I110,2)</f>
        <v>42.59</v>
      </c>
      <c r="L110" s="68" t="n">
        <f aca="false">IF(AND(A111&lt;&gt;"",A110=""),L109+1,L109)</f>
        <v>10</v>
      </c>
      <c r="M110" s="101" t="n">
        <f aca="false">IF(OR(A110="Insumo",A110="Composição Auxiliar"),J110,"")</f>
        <v>42.59</v>
      </c>
      <c r="N110" s="102" t="str">
        <f aca="false">IF(ISNUMBER(SEARCH("COM ENCARGOS COMPLEMENTARES",D110)),J110,"")</f>
        <v/>
      </c>
      <c r="O110" s="102" t="n">
        <f aca="false">IF(N110&lt;&gt;"","",M110)</f>
        <v>42.59</v>
      </c>
      <c r="P110" s="103" t="str">
        <f aca="false">IF(A110="Composição",A109,"")</f>
        <v/>
      </c>
      <c r="Q110" s="102" t="str">
        <f aca="false">IF(P110&lt;&gt;"",SUMIF(L110:L239,L110,N110:N239),"")</f>
        <v/>
      </c>
      <c r="R110" s="102" t="str">
        <f aca="false">IF(P110&lt;&gt;"",SUMIF(L110:L239,L110,O110:O239),"")</f>
        <v/>
      </c>
    </row>
    <row r="111" customFormat="false" ht="25.5" hidden="false" customHeight="true" outlineLevel="0" collapsed="false">
      <c r="A111" s="149"/>
      <c r="B111" s="149"/>
      <c r="C111" s="149"/>
      <c r="D111" s="149"/>
      <c r="E111" s="149"/>
      <c r="F111" s="150"/>
      <c r="G111" s="149"/>
      <c r="H111" s="150"/>
      <c r="I111" s="149"/>
      <c r="J111" s="150"/>
      <c r="L111" s="68" t="n">
        <f aca="false">IF(AND(A112&lt;&gt;"",A111=""),L110+1,L110)</f>
        <v>10</v>
      </c>
      <c r="M111" s="101" t="str">
        <f aca="false">IF(OR(A111="Insumo",A111="Composição Auxiliar"),J111,"")</f>
        <v/>
      </c>
      <c r="N111" s="102" t="str">
        <f aca="false">IF(ISNUMBER(SEARCH("COM ENCARGOS COMPLEMENTARES",D111)),J111,"")</f>
        <v/>
      </c>
      <c r="O111" s="102" t="str">
        <f aca="false">IF(N111&lt;&gt;"","",M111)</f>
        <v/>
      </c>
      <c r="P111" s="103" t="str">
        <f aca="false">IF(A111="Composição",A110,"")</f>
        <v/>
      </c>
      <c r="Q111" s="102" t="str">
        <f aca="false">IF(P111&lt;&gt;"",SUMIF(L111:L239,L111,N111:N239),"")</f>
        <v/>
      </c>
      <c r="R111" s="102" t="str">
        <f aca="false">IF(P111&lt;&gt;"",SUMIF(L111:L239,L111,O111:O239),"")</f>
        <v/>
      </c>
    </row>
    <row r="112" customFormat="false" ht="14.25" hidden="false" customHeight="true" outlineLevel="0" collapsed="false">
      <c r="A112" s="149"/>
      <c r="B112" s="149"/>
      <c r="C112" s="149"/>
      <c r="D112" s="149"/>
      <c r="E112" s="149"/>
      <c r="F112" s="150"/>
      <c r="G112" s="149"/>
      <c r="H112" s="151" t="s">
        <v>135</v>
      </c>
      <c r="I112" s="151"/>
      <c r="J112" s="150" t="n">
        <f aca="false">TRUNC(SUMIF(L:L,$L112,M:M)*(1+$J$9),2)</f>
        <v>60.48</v>
      </c>
      <c r="L112" s="68" t="n">
        <f aca="false">IF(AND(A113&lt;&gt;"",A112=""),L111+1,L111)</f>
        <v>10</v>
      </c>
      <c r="M112" s="101" t="str">
        <f aca="false">IF(OR(A112="Insumo",A112="Composição Auxiliar"),J112,"")</f>
        <v/>
      </c>
      <c r="N112" s="102" t="str">
        <f aca="false">IF(ISNUMBER(SEARCH("COM ENCARGOS COMPLEMENTARES",D112)),J112,"")</f>
        <v/>
      </c>
      <c r="O112" s="102" t="str">
        <f aca="false">IF(N112&lt;&gt;"","",M112)</f>
        <v/>
      </c>
      <c r="P112" s="103" t="str">
        <f aca="false">IF(A112="Composição",A111,"")</f>
        <v/>
      </c>
      <c r="Q112" s="102" t="str">
        <f aca="false">IF(P112&lt;&gt;"",SUMIF(L112:L239,L112,N112:N239),"")</f>
        <v/>
      </c>
      <c r="R112" s="102" t="str">
        <f aca="false">IF(P112&lt;&gt;"",SUMIF(L112:L239,L112,O112:O239),"")</f>
        <v/>
      </c>
    </row>
    <row r="113" customFormat="false" ht="14.25" hidden="false" customHeight="true" outlineLevel="0" collapsed="false">
      <c r="A113" s="152"/>
      <c r="B113" s="152"/>
      <c r="C113" s="152"/>
      <c r="D113" s="152"/>
      <c r="E113" s="152"/>
      <c r="F113" s="152"/>
      <c r="G113" s="152" t="s">
        <v>140</v>
      </c>
      <c r="H113" s="153" t="n">
        <v>4</v>
      </c>
      <c r="I113" s="152" t="s">
        <v>141</v>
      </c>
      <c r="J113" s="154" t="n">
        <f aca="false">TRUNC(J112*H113,2)</f>
        <v>241.92</v>
      </c>
      <c r="L113" s="68" t="n">
        <f aca="false">IF(AND(A114&lt;&gt;"",A113=""),L112+1,L112)</f>
        <v>10</v>
      </c>
      <c r="M113" s="101" t="str">
        <f aca="false">IF(OR(A113="Insumo",A113="Composição Auxiliar"),J113,"")</f>
        <v/>
      </c>
      <c r="N113" s="102" t="str">
        <f aca="false">IF(ISNUMBER(SEARCH("COM ENCARGOS COMPLEMENTARES",D113)),J113,"")</f>
        <v/>
      </c>
      <c r="O113" s="102" t="str">
        <f aca="false">IF(N113&lt;&gt;"","",M113)</f>
        <v/>
      </c>
      <c r="P113" s="103" t="str">
        <f aca="false">IF(A113="Composição",A112,"")</f>
        <v/>
      </c>
      <c r="Q113" s="102" t="str">
        <f aca="false">IF(P113&lt;&gt;"",SUMIF(L113:L239,L113,N113:N239),"")</f>
        <v/>
      </c>
      <c r="R113" s="102" t="str">
        <f aca="false">IF(P113&lt;&gt;"",SUMIF(L113:L239,L113,O113:O239),"")</f>
        <v/>
      </c>
    </row>
    <row r="114" customFormat="false" ht="25" hidden="false" customHeight="true" outlineLevel="0" collapsed="false">
      <c r="A114" s="155"/>
      <c r="B114" s="155"/>
      <c r="C114" s="155"/>
      <c r="D114" s="155"/>
      <c r="E114" s="155"/>
      <c r="F114" s="155"/>
      <c r="G114" s="155"/>
      <c r="H114" s="155"/>
      <c r="I114" s="155"/>
      <c r="J114" s="155"/>
      <c r="L114" s="68" t="n">
        <f aca="false">IF(AND(A115&lt;&gt;"",A114=""),L113+1,L113)</f>
        <v>11</v>
      </c>
      <c r="M114" s="101" t="str">
        <f aca="false">IF(OR(A114="Insumo",A114="Composição Auxiliar"),J114,"")</f>
        <v/>
      </c>
      <c r="N114" s="102" t="str">
        <f aca="false">IF(ISNUMBER(SEARCH("COM ENCARGOS COMPLEMENTARES",D114)),J114,"")</f>
        <v/>
      </c>
      <c r="O114" s="102" t="str">
        <f aca="false">IF(N114&lt;&gt;"","",M114)</f>
        <v/>
      </c>
      <c r="P114" s="103" t="str">
        <f aca="false">IF(A114="Composição",A113,"")</f>
        <v/>
      </c>
      <c r="Q114" s="102" t="str">
        <f aca="false">IF(P114&lt;&gt;"",SUMIF(L114:L239,L114,N114:N239),"")</f>
        <v/>
      </c>
      <c r="R114" s="102" t="str">
        <f aca="false">IF(P114&lt;&gt;"",SUMIF(L114:L239,L114,O114:O239),"")</f>
        <v/>
      </c>
    </row>
    <row r="115" customFormat="false" ht="14" hidden="false" customHeight="true" outlineLevel="0" collapsed="false">
      <c r="A115" s="118" t="s">
        <v>63</v>
      </c>
      <c r="B115" s="119" t="s">
        <v>115</v>
      </c>
      <c r="C115" s="118" t="s">
        <v>116</v>
      </c>
      <c r="D115" s="118" t="s">
        <v>117</v>
      </c>
      <c r="E115" s="118" t="s">
        <v>118</v>
      </c>
      <c r="F115" s="118"/>
      <c r="G115" s="120" t="s">
        <v>119</v>
      </c>
      <c r="H115" s="119" t="s">
        <v>120</v>
      </c>
      <c r="I115" s="119" t="s">
        <v>130</v>
      </c>
      <c r="J115" s="119" t="s">
        <v>131</v>
      </c>
      <c r="L115" s="68" t="n">
        <f aca="false">IF(AND(A116&lt;&gt;"",A115=""),L114+1,L114)</f>
        <v>11</v>
      </c>
      <c r="M115" s="101" t="str">
        <f aca="false">IF(OR(A115="Insumo",A115="Composição Auxiliar"),J115,"")</f>
        <v/>
      </c>
      <c r="N115" s="102" t="str">
        <f aca="false">IF(ISNUMBER(SEARCH("COM ENCARGOS COMPLEMENTARES",D115)),J115,"")</f>
        <v/>
      </c>
      <c r="O115" s="102" t="str">
        <f aca="false">IF(N115&lt;&gt;"","",M115)</f>
        <v/>
      </c>
      <c r="P115" s="103" t="str">
        <f aca="false">IF(A115="Composição",A114,"")</f>
        <v/>
      </c>
      <c r="Q115" s="102" t="str">
        <f aca="false">IF(P115&lt;&gt;"",SUMIF(L115:L239,L115,N115:N239),"")</f>
        <v/>
      </c>
      <c r="R115" s="102" t="str">
        <f aca="false">IF(P115&lt;&gt;"",SUMIF(L115:L239,L115,O115:O239),"")</f>
        <v/>
      </c>
    </row>
    <row r="116" customFormat="false" ht="25.5" hidden="false" customHeight="true" outlineLevel="0" collapsed="false">
      <c r="A116" s="122" t="s">
        <v>121</v>
      </c>
      <c r="B116" s="55" t="s">
        <v>64</v>
      </c>
      <c r="C116" s="122" t="s">
        <v>153</v>
      </c>
      <c r="D116" s="122" t="s">
        <v>199</v>
      </c>
      <c r="E116" s="122" t="s">
        <v>170</v>
      </c>
      <c r="F116" s="122"/>
      <c r="G116" s="123" t="s">
        <v>171</v>
      </c>
      <c r="H116" s="124" t="n">
        <v>1</v>
      </c>
      <c r="I116" s="125" t="n">
        <f aca="false">SUMIF(L:L,$L116,M:M)</f>
        <v>98.12</v>
      </c>
      <c r="J116" s="125" t="n">
        <f aca="false">TRUNC(H116*I116,2)</f>
        <v>98.12</v>
      </c>
      <c r="L116" s="68" t="n">
        <f aca="false">IF(AND(A117&lt;&gt;"",A116=""),L115+1,L115)</f>
        <v>11</v>
      </c>
      <c r="M116" s="101" t="str">
        <f aca="false">IF(OR(A116="Insumo",A116="Composição Auxiliar"),J116,"")</f>
        <v/>
      </c>
      <c r="N116" s="102" t="str">
        <f aca="false">IF(ISNUMBER(SEARCH("COM ENCARGOS COMPLEMENTARES",D116)),J116,"")</f>
        <v/>
      </c>
      <c r="O116" s="102" t="str">
        <f aca="false">IF(N116&lt;&gt;"","",M116)</f>
        <v/>
      </c>
      <c r="P116" s="103" t="str">
        <f aca="false">IF(A116="Composição",A115,"")</f>
        <v> 2.3.3 </v>
      </c>
      <c r="Q116" s="102" t="n">
        <f aca="false">IF(P116&lt;&gt;"",SUMIF(L116:L239,L116,N116:N239),"")</f>
        <v>15.93</v>
      </c>
      <c r="R116" s="102" t="n">
        <f aca="false">IF(P116&lt;&gt;"",SUMIF(L116:L239,L116,O116:O239),"")</f>
        <v>82.19</v>
      </c>
    </row>
    <row r="117" customFormat="false" ht="25" hidden="false" customHeight="true" outlineLevel="0" collapsed="false">
      <c r="A117" s="129" t="s">
        <v>126</v>
      </c>
      <c r="B117" s="130" t="s">
        <v>181</v>
      </c>
      <c r="C117" s="129" t="s">
        <v>122</v>
      </c>
      <c r="D117" s="129" t="s">
        <v>182</v>
      </c>
      <c r="E117" s="129" t="s">
        <v>124</v>
      </c>
      <c r="F117" s="129"/>
      <c r="G117" s="131" t="s">
        <v>125</v>
      </c>
      <c r="H117" s="132" t="n">
        <v>0.346</v>
      </c>
      <c r="I117" s="133" t="n">
        <f aca="false">SUMIFS('ANALÍTICA AUXILIARES'!J:J,'ANALÍTICA AUXILIARES'!A:A,"Composição",'ANALÍTICA AUXILIARES'!B:B,$B117)</f>
        <v>26.75</v>
      </c>
      <c r="J117" s="133" t="n">
        <f aca="false">TRUNC(H117*I117,2)</f>
        <v>9.25</v>
      </c>
      <c r="L117" s="68" t="n">
        <f aca="false">IF(AND(A118&lt;&gt;"",A117=""),L116+1,L116)</f>
        <v>11</v>
      </c>
      <c r="M117" s="101" t="n">
        <f aca="false">IF(OR(A117="Insumo",A117="Composição Auxiliar"),J117,"")</f>
        <v>9.25</v>
      </c>
      <c r="N117" s="102" t="n">
        <f aca="false">IF(ISNUMBER(SEARCH("COM ENCARGOS COMPLEMENTARES",D117)),J117,"")</f>
        <v>9.25</v>
      </c>
      <c r="O117" s="102" t="str">
        <f aca="false">IF(N117&lt;&gt;"","",M117)</f>
        <v/>
      </c>
      <c r="P117" s="103" t="str">
        <f aca="false">IF(A117="Composição",A116,"")</f>
        <v/>
      </c>
      <c r="Q117" s="102" t="str">
        <f aca="false">IF(P117&lt;&gt;"",SUMIF(L117:L239,L117,N117:N239),"")</f>
        <v/>
      </c>
      <c r="R117" s="102" t="str">
        <f aca="false">IF(P117&lt;&gt;"",SUMIF(L117:L239,L117,O117:O239),"")</f>
        <v/>
      </c>
    </row>
    <row r="118" customFormat="false" ht="14.15" hidden="false" customHeight="true" outlineLevel="0" collapsed="false">
      <c r="A118" s="129" t="s">
        <v>126</v>
      </c>
      <c r="B118" s="130" t="s">
        <v>179</v>
      </c>
      <c r="C118" s="129" t="s">
        <v>122</v>
      </c>
      <c r="D118" s="129" t="s">
        <v>180</v>
      </c>
      <c r="E118" s="129" t="s">
        <v>124</v>
      </c>
      <c r="F118" s="129"/>
      <c r="G118" s="131" t="s">
        <v>125</v>
      </c>
      <c r="H118" s="132" t="n">
        <v>0.346</v>
      </c>
      <c r="I118" s="133" t="n">
        <f aca="false">SUMIFS('ANALÍTICA AUXILIARES'!J:J,'ANALÍTICA AUXILIARES'!A:A,"Composição",'ANALÍTICA AUXILIARES'!B:B,$B118)</f>
        <v>19.33</v>
      </c>
      <c r="J118" s="133" t="n">
        <f aca="false">TRUNC(H118*I118,2)</f>
        <v>6.68</v>
      </c>
      <c r="L118" s="68" t="n">
        <f aca="false">IF(AND(A119&lt;&gt;"",A118=""),L117+1,L117)</f>
        <v>11</v>
      </c>
      <c r="M118" s="101" t="n">
        <f aca="false">IF(OR(A118="Insumo",A118="Composição Auxiliar"),J118,"")</f>
        <v>6.68</v>
      </c>
      <c r="N118" s="102" t="n">
        <f aca="false">IF(ISNUMBER(SEARCH("COM ENCARGOS COMPLEMENTARES",D118)),J118,"")</f>
        <v>6.68</v>
      </c>
      <c r="O118" s="102" t="str">
        <f aca="false">IF(N118&lt;&gt;"","",M118)</f>
        <v/>
      </c>
      <c r="P118" s="103" t="str">
        <f aca="false">IF(A118="Composição",A117,"")</f>
        <v/>
      </c>
      <c r="Q118" s="102" t="str">
        <f aca="false">IF(P118&lt;&gt;"",SUMIF(L118:L239,L118,N118:N239),"")</f>
        <v/>
      </c>
      <c r="R118" s="102" t="str">
        <f aca="false">IF(P118&lt;&gt;"",SUMIF(L118:L239,L118,O118:O239),"")</f>
        <v/>
      </c>
    </row>
    <row r="119" customFormat="false" ht="38.25" hidden="false" customHeight="true" outlineLevel="0" collapsed="false">
      <c r="A119" s="143" t="s">
        <v>128</v>
      </c>
      <c r="B119" s="144" t="s">
        <v>200</v>
      </c>
      <c r="C119" s="143" t="str">
        <f aca="false">VLOOKUP(B119,INSUMOS!$A:$I,2,0)</f>
        <v>SINAPI</v>
      </c>
      <c r="D119" s="143" t="str">
        <f aca="false">VLOOKUP(B119,INSUMOS!$A:$I,3,0)</f>
        <v>CAIXA DE PASSAGEM METALICA DE SOBREPOR COM TAMPA PARAFUSADA, DIMENSOES 30 X 30 X 10 CM</v>
      </c>
      <c r="E119" s="143" t="str">
        <f aca="false">VLOOKUP(B119,INSUMOS!$A:$I,4,0)</f>
        <v>Material</v>
      </c>
      <c r="F119" s="143"/>
      <c r="G119" s="145" t="str">
        <f aca="false">VLOOKUP(B119,INSUMOS!$A:$I,5,0)</f>
        <v>UN</v>
      </c>
      <c r="H119" s="146" t="n">
        <v>1</v>
      </c>
      <c r="I119" s="147" t="n">
        <f aca="false">VLOOKUP(B119,INSUMOS!$A:$I,8,0)</f>
        <v>82.19</v>
      </c>
      <c r="J119" s="147" t="n">
        <f aca="false">TRUNC(H119*I119,2)</f>
        <v>82.19</v>
      </c>
      <c r="L119" s="68" t="n">
        <f aca="false">IF(AND(A120&lt;&gt;"",A119=""),L118+1,L118)</f>
        <v>11</v>
      </c>
      <c r="M119" s="101" t="n">
        <f aca="false">IF(OR(A119="Insumo",A119="Composição Auxiliar"),J119,"")</f>
        <v>82.19</v>
      </c>
      <c r="N119" s="102" t="str">
        <f aca="false">IF(ISNUMBER(SEARCH("COM ENCARGOS COMPLEMENTARES",D119)),J119,"")</f>
        <v/>
      </c>
      <c r="O119" s="102" t="n">
        <f aca="false">IF(N119&lt;&gt;"","",M119)</f>
        <v>82.19</v>
      </c>
      <c r="P119" s="103" t="str">
        <f aca="false">IF(A119="Composição",A118,"")</f>
        <v/>
      </c>
      <c r="Q119" s="102" t="str">
        <f aca="false">IF(P119&lt;&gt;"",SUMIF(L119:L239,L119,N119:N239),"")</f>
        <v/>
      </c>
      <c r="R119" s="102" t="str">
        <f aca="false">IF(P119&lt;&gt;"",SUMIF(L119:L239,L119,O119:O239),"")</f>
        <v/>
      </c>
    </row>
    <row r="120" customFormat="false" ht="38.25" hidden="false" customHeight="true" outlineLevel="0" collapsed="false">
      <c r="A120" s="149"/>
      <c r="B120" s="149"/>
      <c r="C120" s="149"/>
      <c r="D120" s="149"/>
      <c r="E120" s="149"/>
      <c r="F120" s="150"/>
      <c r="G120" s="149"/>
      <c r="H120" s="150"/>
      <c r="I120" s="149"/>
      <c r="J120" s="150"/>
      <c r="L120" s="68" t="n">
        <f aca="false">IF(AND(A121&lt;&gt;"",A120=""),L119+1,L119)</f>
        <v>11</v>
      </c>
      <c r="M120" s="101" t="str">
        <f aca="false">IF(OR(A120="Insumo",A120="Composição Auxiliar"),J120,"")</f>
        <v/>
      </c>
      <c r="N120" s="102" t="str">
        <f aca="false">IF(ISNUMBER(SEARCH("COM ENCARGOS COMPLEMENTARES",D120)),J120,"")</f>
        <v/>
      </c>
      <c r="O120" s="102" t="str">
        <f aca="false">IF(N120&lt;&gt;"","",M120)</f>
        <v/>
      </c>
      <c r="P120" s="103" t="str">
        <f aca="false">IF(A120="Composição",A119,"")</f>
        <v/>
      </c>
      <c r="Q120" s="102" t="str">
        <f aca="false">IF(P120&lt;&gt;"",SUMIF(L120:L239,L120,N120:N239),"")</f>
        <v/>
      </c>
      <c r="R120" s="102" t="str">
        <f aca="false">IF(P120&lt;&gt;"",SUMIF(L120:L239,L120,O120:O239),"")</f>
        <v/>
      </c>
    </row>
    <row r="121" customFormat="false" ht="14.25" hidden="false" customHeight="true" outlineLevel="0" collapsed="false">
      <c r="A121" s="149"/>
      <c r="B121" s="149"/>
      <c r="C121" s="149"/>
      <c r="D121" s="149"/>
      <c r="E121" s="149"/>
      <c r="F121" s="150"/>
      <c r="G121" s="149"/>
      <c r="H121" s="151" t="s">
        <v>135</v>
      </c>
      <c r="I121" s="151"/>
      <c r="J121" s="150" t="n">
        <f aca="false">TRUNC(SUMIF(L:L,$L121,M:M)*(1+$J$9),2)</f>
        <v>119.92</v>
      </c>
      <c r="L121" s="68" t="n">
        <f aca="false">IF(AND(A122&lt;&gt;"",A121=""),L120+1,L120)</f>
        <v>11</v>
      </c>
      <c r="M121" s="101" t="str">
        <f aca="false">IF(OR(A121="Insumo",A121="Composição Auxiliar"),J121,"")</f>
        <v/>
      </c>
      <c r="N121" s="102" t="str">
        <f aca="false">IF(ISNUMBER(SEARCH("COM ENCARGOS COMPLEMENTARES",D121)),J121,"")</f>
        <v/>
      </c>
      <c r="O121" s="102" t="str">
        <f aca="false">IF(N121&lt;&gt;"","",M121)</f>
        <v/>
      </c>
      <c r="P121" s="103" t="str">
        <f aca="false">IF(A121="Composição",A120,"")</f>
        <v/>
      </c>
      <c r="Q121" s="102" t="str">
        <f aca="false">IF(P121&lt;&gt;"",SUMIF(L121:L239,L121,N121:N239),"")</f>
        <v/>
      </c>
      <c r="R121" s="102" t="str">
        <f aca="false">IF(P121&lt;&gt;"",SUMIF(L121:L239,L121,O121:O239),"")</f>
        <v/>
      </c>
    </row>
    <row r="122" customFormat="false" ht="14.25" hidden="false" customHeight="true" outlineLevel="0" collapsed="false">
      <c r="A122" s="152"/>
      <c r="B122" s="152"/>
      <c r="C122" s="152"/>
      <c r="D122" s="152"/>
      <c r="E122" s="152"/>
      <c r="F122" s="152"/>
      <c r="G122" s="152" t="s">
        <v>140</v>
      </c>
      <c r="H122" s="153" t="n">
        <v>12</v>
      </c>
      <c r="I122" s="152" t="s">
        <v>141</v>
      </c>
      <c r="J122" s="154" t="n">
        <f aca="false">TRUNC(J121*H122,2)</f>
        <v>1439.04</v>
      </c>
      <c r="L122" s="68" t="n">
        <f aca="false">IF(AND(A123&lt;&gt;"",A122=""),L121+1,L121)</f>
        <v>11</v>
      </c>
      <c r="M122" s="101" t="str">
        <f aca="false">IF(OR(A122="Insumo",A122="Composição Auxiliar"),J122,"")</f>
        <v/>
      </c>
      <c r="N122" s="102" t="str">
        <f aca="false">IF(ISNUMBER(SEARCH("COM ENCARGOS COMPLEMENTARES",D122)),J122,"")</f>
        <v/>
      </c>
      <c r="O122" s="102" t="str">
        <f aca="false">IF(N122&lt;&gt;"","",M122)</f>
        <v/>
      </c>
      <c r="P122" s="103" t="str">
        <f aca="false">IF(A122="Composição",A121,"")</f>
        <v/>
      </c>
      <c r="Q122" s="102" t="str">
        <f aca="false">IF(P122&lt;&gt;"",SUMIF(L122:L239,L122,N122:N239),"")</f>
        <v/>
      </c>
      <c r="R122" s="102" t="str">
        <f aca="false">IF(P122&lt;&gt;"",SUMIF(L122:L239,L122,O122:O239),"")</f>
        <v/>
      </c>
    </row>
    <row r="123" customFormat="false" ht="14.5" hidden="false" customHeight="false" outlineLevel="0" collapsed="false">
      <c r="A123" s="155"/>
      <c r="B123" s="155"/>
      <c r="C123" s="155"/>
      <c r="D123" s="155"/>
      <c r="E123" s="155"/>
      <c r="F123" s="155"/>
      <c r="G123" s="155"/>
      <c r="H123" s="155"/>
      <c r="I123" s="155"/>
      <c r="J123" s="155"/>
      <c r="L123" s="68" t="n">
        <f aca="false">IF(AND(A124&lt;&gt;"",A123=""),L122+1,L122)</f>
        <v>12</v>
      </c>
      <c r="M123" s="101" t="str">
        <f aca="false">IF(OR(A123="Insumo",A123="Composição Auxiliar"),J123,"")</f>
        <v/>
      </c>
      <c r="N123" s="102" t="str">
        <f aca="false">IF(ISNUMBER(SEARCH("COM ENCARGOS COMPLEMENTARES",D123)),J123,"")</f>
        <v/>
      </c>
      <c r="O123" s="102" t="str">
        <f aca="false">IF(N123&lt;&gt;"","",M123)</f>
        <v/>
      </c>
      <c r="P123" s="103" t="str">
        <f aca="false">IF(A123="Composição",A122,"")</f>
        <v/>
      </c>
      <c r="Q123" s="102" t="str">
        <f aca="false">IF(P123&lt;&gt;"",SUMIF(L123:L239,L123,N123:N239),"")</f>
        <v/>
      </c>
      <c r="R123" s="102" t="str">
        <f aca="false">IF(P123&lt;&gt;"",SUMIF(L123:L239,L123,O123:O239),"")</f>
        <v/>
      </c>
    </row>
    <row r="124" customFormat="false" ht="14" hidden="false" customHeight="true" outlineLevel="0" collapsed="false">
      <c r="A124" s="118" t="s">
        <v>65</v>
      </c>
      <c r="B124" s="119" t="s">
        <v>115</v>
      </c>
      <c r="C124" s="118" t="s">
        <v>116</v>
      </c>
      <c r="D124" s="118" t="s">
        <v>117</v>
      </c>
      <c r="E124" s="118" t="s">
        <v>118</v>
      </c>
      <c r="F124" s="118"/>
      <c r="G124" s="120" t="s">
        <v>119</v>
      </c>
      <c r="H124" s="119" t="s">
        <v>120</v>
      </c>
      <c r="I124" s="119" t="s">
        <v>130</v>
      </c>
      <c r="J124" s="119" t="s">
        <v>131</v>
      </c>
      <c r="L124" s="68" t="n">
        <f aca="false">IF(AND(A125&lt;&gt;"",A124=""),L123+1,L123)</f>
        <v>12</v>
      </c>
      <c r="M124" s="101" t="str">
        <f aca="false">IF(OR(A124="Insumo",A124="Composição Auxiliar"),J124,"")</f>
        <v/>
      </c>
      <c r="N124" s="102" t="str">
        <f aca="false">IF(ISNUMBER(SEARCH("COM ENCARGOS COMPLEMENTARES",D124)),J124,"")</f>
        <v/>
      </c>
      <c r="O124" s="102" t="str">
        <f aca="false">IF(N124&lt;&gt;"","",M124)</f>
        <v/>
      </c>
      <c r="P124" s="103" t="str">
        <f aca="false">IF(A124="Composição",A123,"")</f>
        <v/>
      </c>
      <c r="Q124" s="102" t="str">
        <f aca="false">IF(P124&lt;&gt;"",SUMIF(L124:L239,L124,N124:N239),"")</f>
        <v/>
      </c>
      <c r="R124" s="102" t="str">
        <f aca="false">IF(P124&lt;&gt;"",SUMIF(L124:L239,L124,O124:O239),"")</f>
        <v/>
      </c>
    </row>
    <row r="125" customFormat="false" ht="37.5" hidden="false" customHeight="true" outlineLevel="0" collapsed="false">
      <c r="A125" s="122" t="s">
        <v>121</v>
      </c>
      <c r="B125" s="55" t="s">
        <v>66</v>
      </c>
      <c r="C125" s="122" t="s">
        <v>153</v>
      </c>
      <c r="D125" s="122" t="s">
        <v>201</v>
      </c>
      <c r="E125" s="122" t="s">
        <v>202</v>
      </c>
      <c r="F125" s="122"/>
      <c r="G125" s="123" t="s">
        <v>155</v>
      </c>
      <c r="H125" s="124" t="n">
        <v>1</v>
      </c>
      <c r="I125" s="125" t="n">
        <f aca="false">SUMIF(L:L,$L125,M:M)</f>
        <v>58.66</v>
      </c>
      <c r="J125" s="125" t="n">
        <f aca="false">TRUNC(H125*I125,2)</f>
        <v>58.66</v>
      </c>
      <c r="L125" s="68" t="n">
        <f aca="false">IF(AND(A126&lt;&gt;"",A125=""),L124+1,L124)</f>
        <v>12</v>
      </c>
      <c r="M125" s="101" t="str">
        <f aca="false">IF(OR(A125="Insumo",A125="Composição Auxiliar"),J125,"")</f>
        <v/>
      </c>
      <c r="N125" s="102" t="str">
        <f aca="false">IF(ISNUMBER(SEARCH("COM ENCARGOS COMPLEMENTARES",D125)),J125,"")</f>
        <v/>
      </c>
      <c r="O125" s="102" t="str">
        <f aca="false">IF(N125&lt;&gt;"","",M125)</f>
        <v/>
      </c>
      <c r="P125" s="103" t="str">
        <f aca="false">IF(A125="Composição",A124,"")</f>
        <v> 2.3.4 </v>
      </c>
      <c r="Q125" s="102" t="n">
        <f aca="false">IF(P125&lt;&gt;"",SUMIF(L125:L239,L125,N125:N239),"")</f>
        <v>19.88</v>
      </c>
      <c r="R125" s="102" t="n">
        <f aca="false">IF(P125&lt;&gt;"",SUMIF(L125:L239,L125,O125:O239),"")</f>
        <v>38.78</v>
      </c>
    </row>
    <row r="126" customFormat="false" ht="14.15" hidden="false" customHeight="true" outlineLevel="0" collapsed="false">
      <c r="A126" s="129" t="s">
        <v>126</v>
      </c>
      <c r="B126" s="130" t="s">
        <v>203</v>
      </c>
      <c r="C126" s="129" t="s">
        <v>122</v>
      </c>
      <c r="D126" s="129" t="s">
        <v>204</v>
      </c>
      <c r="E126" s="129" t="s">
        <v>124</v>
      </c>
      <c r="F126" s="129"/>
      <c r="G126" s="131" t="s">
        <v>125</v>
      </c>
      <c r="H126" s="132" t="n">
        <v>0.45</v>
      </c>
      <c r="I126" s="133" t="n">
        <f aca="false">SUMIFS('ANALÍTICA AUXILIARES'!J:J,'ANALÍTICA AUXILIARES'!A:A,"Composição",'ANALÍTICA AUXILIARES'!B:B,$B126)</f>
        <v>26.46</v>
      </c>
      <c r="J126" s="133" t="n">
        <f aca="false">TRUNC(H126*I126,2)</f>
        <v>11.9</v>
      </c>
      <c r="L126" s="68" t="n">
        <f aca="false">IF(AND(A127&lt;&gt;"",A126=""),L125+1,L125)</f>
        <v>12</v>
      </c>
      <c r="M126" s="101" t="n">
        <f aca="false">IF(OR(A126="Insumo",A126="Composição Auxiliar"),J126,"")</f>
        <v>11.9</v>
      </c>
      <c r="N126" s="102" t="n">
        <f aca="false">IF(ISNUMBER(SEARCH("COM ENCARGOS COMPLEMENTARES",D126)),J126,"")</f>
        <v>11.9</v>
      </c>
      <c r="O126" s="102" t="str">
        <f aca="false">IF(N126&lt;&gt;"","",M126)</f>
        <v/>
      </c>
      <c r="P126" s="103" t="str">
        <f aca="false">IF(A126="Composição",A125,"")</f>
        <v/>
      </c>
      <c r="Q126" s="102" t="str">
        <f aca="false">IF(P126&lt;&gt;"",SUMIF(L126:L239,L126,N126:N239),"")</f>
        <v/>
      </c>
      <c r="R126" s="102" t="str">
        <f aca="false">IF(P126&lt;&gt;"",SUMIF(L126:L239,L126,O126:O239),"")</f>
        <v/>
      </c>
    </row>
    <row r="127" customFormat="false" ht="25" hidden="false" customHeight="true" outlineLevel="0" collapsed="false">
      <c r="A127" s="129" t="s">
        <v>126</v>
      </c>
      <c r="B127" s="130" t="s">
        <v>142</v>
      </c>
      <c r="C127" s="129" t="s">
        <v>122</v>
      </c>
      <c r="D127" s="129" t="s">
        <v>143</v>
      </c>
      <c r="E127" s="129" t="s">
        <v>124</v>
      </c>
      <c r="F127" s="129"/>
      <c r="G127" s="131" t="s">
        <v>125</v>
      </c>
      <c r="H127" s="132" t="n">
        <v>0.45</v>
      </c>
      <c r="I127" s="133" t="n">
        <f aca="false">SUMIFS('ANALÍTICA AUXILIARES'!J:J,'ANALÍTICA AUXILIARES'!A:A,"Composição",'ANALÍTICA AUXILIARES'!B:B,$B127)</f>
        <v>17.74</v>
      </c>
      <c r="J127" s="133" t="n">
        <f aca="false">TRUNC(H127*I127,2)</f>
        <v>7.98</v>
      </c>
      <c r="L127" s="68" t="n">
        <f aca="false">IF(AND(A128&lt;&gt;"",A127=""),L126+1,L126)</f>
        <v>12</v>
      </c>
      <c r="M127" s="101" t="n">
        <f aca="false">IF(OR(A127="Insumo",A127="Composição Auxiliar"),J127,"")</f>
        <v>7.98</v>
      </c>
      <c r="N127" s="102" t="n">
        <f aca="false">IF(ISNUMBER(SEARCH("COM ENCARGOS COMPLEMENTARES",D127)),J127,"")</f>
        <v>7.98</v>
      </c>
      <c r="O127" s="102" t="str">
        <f aca="false">IF(N127&lt;&gt;"","",M127)</f>
        <v/>
      </c>
      <c r="P127" s="103" t="str">
        <f aca="false">IF(A127="Composição",A126,"")</f>
        <v/>
      </c>
      <c r="Q127" s="102" t="str">
        <f aca="false">IF(P127&lt;&gt;"",SUMIF(L127:L239,L127,N127:N239),"")</f>
        <v/>
      </c>
      <c r="R127" s="102" t="str">
        <f aca="false">IF(P127&lt;&gt;"",SUMIF(L127:L239,L127,O127:O239),"")</f>
        <v/>
      </c>
    </row>
    <row r="128" customFormat="false" ht="25" hidden="false" customHeight="false" outlineLevel="0" collapsed="false">
      <c r="A128" s="143" t="s">
        <v>128</v>
      </c>
      <c r="B128" s="144" t="s">
        <v>205</v>
      </c>
      <c r="C128" s="143" t="str">
        <f aca="false">VLOOKUP(B128,INSUMOS!$A:$I,2,0)</f>
        <v>SINAPI</v>
      </c>
      <c r="D128" s="143" t="str">
        <f aca="false">VLOOKUP(B128,INSUMOS!$A:$I,3,0)</f>
        <v>PARAFUSO DE ACO TIPO CHUMBADOR PARABOLT, DIAMETRO 3/8", COMPRIMENTO 75 MM</v>
      </c>
      <c r="E128" s="143" t="str">
        <f aca="false">VLOOKUP(B128,INSUMOS!$A:$I,4,0)</f>
        <v>Material</v>
      </c>
      <c r="F128" s="143"/>
      <c r="G128" s="145" t="str">
        <f aca="false">VLOOKUP(B128,INSUMOS!$A:$I,5,0)</f>
        <v>UN</v>
      </c>
      <c r="H128" s="146" t="n">
        <v>2</v>
      </c>
      <c r="I128" s="147" t="n">
        <f aca="false">VLOOKUP(B128,INSUMOS!$A:$I,8,0)</f>
        <v>2.57</v>
      </c>
      <c r="J128" s="147" t="n">
        <f aca="false">TRUNC(H128*I128,2)</f>
        <v>5.14</v>
      </c>
      <c r="L128" s="68" t="n">
        <f aca="false">IF(AND(A129&lt;&gt;"",A128=""),L127+1,L127)</f>
        <v>12</v>
      </c>
      <c r="M128" s="101" t="n">
        <f aca="false">IF(OR(A128="Insumo",A128="Composição Auxiliar"),J128,"")</f>
        <v>5.14</v>
      </c>
      <c r="N128" s="102" t="str">
        <f aca="false">IF(ISNUMBER(SEARCH("COM ENCARGOS COMPLEMENTARES",D128)),J128,"")</f>
        <v/>
      </c>
      <c r="O128" s="102" t="n">
        <f aca="false">IF(N128&lt;&gt;"","",M128)</f>
        <v>5.14</v>
      </c>
      <c r="P128" s="103" t="str">
        <f aca="false">IF(A128="Composição",A127,"")</f>
        <v/>
      </c>
      <c r="Q128" s="102" t="str">
        <f aca="false">IF(P128&lt;&gt;"",SUMIF(L128:L239,L128,N128:N239),"")</f>
        <v/>
      </c>
      <c r="R128" s="102" t="str">
        <f aca="false">IF(P128&lt;&gt;"",SUMIF(L128:L239,L128,O128:O239),"")</f>
        <v/>
      </c>
    </row>
    <row r="129" customFormat="false" ht="14.25" hidden="false" customHeight="true" outlineLevel="0" collapsed="false">
      <c r="A129" s="143" t="s">
        <v>128</v>
      </c>
      <c r="B129" s="144" t="s">
        <v>206</v>
      </c>
      <c r="C129" s="143" t="str">
        <f aca="false">VLOOKUP(B129,INSUMOS!$A:$I,2,0)</f>
        <v>ORSE</v>
      </c>
      <c r="D129" s="143" t="str">
        <f aca="false">VLOOKUP(B129,INSUMOS!$A:$I,3,0)</f>
        <v>Barra roscada zincada ø 3/8"</v>
      </c>
      <c r="E129" s="143" t="str">
        <f aca="false">VLOOKUP(B129,INSUMOS!$A:$I,4,0)</f>
        <v>Material</v>
      </c>
      <c r="F129" s="143"/>
      <c r="G129" s="145" t="str">
        <f aca="false">VLOOKUP(B129,INSUMOS!$A:$I,5,0)</f>
        <v>m</v>
      </c>
      <c r="H129" s="146" t="n">
        <v>1.8</v>
      </c>
      <c r="I129" s="147" t="n">
        <f aca="false">VLOOKUP(B129,INSUMOS!$A:$I,8,0)</f>
        <v>7.7</v>
      </c>
      <c r="J129" s="147" t="n">
        <f aca="false">TRUNC(H129*I129,2)</f>
        <v>13.86</v>
      </c>
      <c r="L129" s="68" t="n">
        <f aca="false">IF(AND(A130&lt;&gt;"",A129=""),L128+1,L128)</f>
        <v>12</v>
      </c>
      <c r="M129" s="101" t="n">
        <f aca="false">IF(OR(A129="Insumo",A129="Composição Auxiliar"),J129,"")</f>
        <v>13.86</v>
      </c>
      <c r="N129" s="102" t="str">
        <f aca="false">IF(ISNUMBER(SEARCH("COM ENCARGOS COMPLEMENTARES",D129)),J129,"")</f>
        <v/>
      </c>
      <c r="O129" s="102" t="n">
        <f aca="false">IF(N129&lt;&gt;"","",M129)</f>
        <v>13.86</v>
      </c>
      <c r="P129" s="103" t="str">
        <f aca="false">IF(A129="Composição",A128,"")</f>
        <v/>
      </c>
      <c r="Q129" s="102" t="str">
        <f aca="false">IF(P129&lt;&gt;"",SUMIF(L129:L239,L129,N129:N239),"")</f>
        <v/>
      </c>
      <c r="R129" s="102" t="str">
        <f aca="false">IF(P129&lt;&gt;"",SUMIF(L129:L239,L129,O129:O239),"")</f>
        <v/>
      </c>
    </row>
    <row r="130" customFormat="false" ht="25" hidden="false" customHeight="true" outlineLevel="0" collapsed="false">
      <c r="A130" s="143" t="s">
        <v>128</v>
      </c>
      <c r="B130" s="144" t="s">
        <v>207</v>
      </c>
      <c r="C130" s="143" t="str">
        <f aca="false">VLOOKUP(B130,INSUMOS!$A:$I,2,0)</f>
        <v>ORSE</v>
      </c>
      <c r="D130" s="143" t="str">
        <f aca="false">VLOOKUP(B130,INSUMOS!$A:$I,3,0)</f>
        <v>Arruela lisa de 3/8"</v>
      </c>
      <c r="E130" s="143" t="str">
        <f aca="false">VLOOKUP(B130,INSUMOS!$A:$I,4,0)</f>
        <v>Material</v>
      </c>
      <c r="F130" s="143"/>
      <c r="G130" s="145" t="str">
        <f aca="false">VLOOKUP(B130,INSUMOS!$A:$I,5,0)</f>
        <v>un</v>
      </c>
      <c r="H130" s="146" t="n">
        <v>6</v>
      </c>
      <c r="I130" s="147" t="n">
        <f aca="false">VLOOKUP(B130,INSUMOS!$A:$I,8,0)</f>
        <v>0.12</v>
      </c>
      <c r="J130" s="147" t="n">
        <f aca="false">TRUNC(H130*I130,2)</f>
        <v>0.72</v>
      </c>
      <c r="L130" s="68" t="n">
        <f aca="false">IF(AND(A131&lt;&gt;"",A130=""),L129+1,L129)</f>
        <v>12</v>
      </c>
      <c r="M130" s="101" t="n">
        <f aca="false">IF(OR(A130="Insumo",A130="Composição Auxiliar"),J130,"")</f>
        <v>0.72</v>
      </c>
      <c r="N130" s="102" t="str">
        <f aca="false">IF(ISNUMBER(SEARCH("COM ENCARGOS COMPLEMENTARES",D130)),J130,"")</f>
        <v/>
      </c>
      <c r="O130" s="102" t="n">
        <f aca="false">IF(N130&lt;&gt;"","",M130)</f>
        <v>0.72</v>
      </c>
      <c r="P130" s="103" t="str">
        <f aca="false">IF(A130="Composição",A129,"")</f>
        <v/>
      </c>
      <c r="Q130" s="102" t="str">
        <f aca="false">IF(P130&lt;&gt;"",SUMIF(L130:L239,L130,N130:N239),"")</f>
        <v/>
      </c>
      <c r="R130" s="102" t="str">
        <f aca="false">IF(P130&lt;&gt;"",SUMIF(L130:L239,L130,O130:O239),"")</f>
        <v/>
      </c>
    </row>
    <row r="131" customFormat="false" ht="14" hidden="false" customHeight="false" outlineLevel="0" collapsed="false">
      <c r="A131" s="143" t="s">
        <v>128</v>
      </c>
      <c r="B131" s="144" t="s">
        <v>208</v>
      </c>
      <c r="C131" s="143" t="str">
        <f aca="false">VLOOKUP(B131,INSUMOS!$A:$I,2,0)</f>
        <v>SINAPI</v>
      </c>
      <c r="D131" s="143" t="str">
        <f aca="false">VLOOKUP(B131,INSUMOS!$A:$I,3,0)</f>
        <v>PERFILADO PERFURADO SIMPLES 38 X 38 MM, CHAPA 22</v>
      </c>
      <c r="E131" s="143" t="str">
        <f aca="false">VLOOKUP(B131,INSUMOS!$A:$I,4,0)</f>
        <v>Material</v>
      </c>
      <c r="F131" s="143"/>
      <c r="G131" s="145" t="str">
        <f aca="false">VLOOKUP(B131,INSUMOS!$A:$I,5,0)</f>
        <v>M</v>
      </c>
      <c r="H131" s="146" t="n">
        <v>0.8</v>
      </c>
      <c r="I131" s="147" t="n">
        <f aca="false">VLOOKUP(B131,INSUMOS!$A:$I,8,0)</f>
        <v>12.19</v>
      </c>
      <c r="J131" s="147" t="n">
        <f aca="false">TRUNC(H131*I131,2)</f>
        <v>9.75</v>
      </c>
      <c r="L131" s="68" t="n">
        <f aca="false">IF(AND(A132&lt;&gt;"",A131=""),L130+1,L130)</f>
        <v>12</v>
      </c>
      <c r="M131" s="101" t="n">
        <f aca="false">IF(OR(A131="Insumo",A131="Composição Auxiliar"),J131,"")</f>
        <v>9.75</v>
      </c>
      <c r="N131" s="102" t="str">
        <f aca="false">IF(ISNUMBER(SEARCH("COM ENCARGOS COMPLEMENTARES",D131)),J131,"")</f>
        <v/>
      </c>
      <c r="O131" s="102" t="n">
        <f aca="false">IF(N131&lt;&gt;"","",M131)</f>
        <v>9.75</v>
      </c>
      <c r="P131" s="103" t="str">
        <f aca="false">IF(A131="Composição",A130,"")</f>
        <v/>
      </c>
      <c r="Q131" s="102" t="str">
        <f aca="false">IF(P131&lt;&gt;"",SUMIF(L131:L239,L131,N131:N239),"")</f>
        <v/>
      </c>
      <c r="R131" s="102" t="str">
        <f aca="false">IF(P131&lt;&gt;"",SUMIF(L131:L239,L131,O131:O239),"")</f>
        <v/>
      </c>
    </row>
    <row r="132" customFormat="false" ht="14.25" hidden="false" customHeight="true" outlineLevel="0" collapsed="false">
      <c r="A132" s="143" t="s">
        <v>128</v>
      </c>
      <c r="B132" s="144" t="s">
        <v>209</v>
      </c>
      <c r="C132" s="143" t="str">
        <f aca="false">VLOOKUP(B132,INSUMOS!$A:$I,2,0)</f>
        <v>SINAPI</v>
      </c>
      <c r="D132" s="143" t="str">
        <f aca="false">VLOOKUP(B132,INSUMOS!$A:$I,3,0)</f>
        <v>PORCA ZINCADA, SEXTAVADA, DIAMETRO 3/8"</v>
      </c>
      <c r="E132" s="143" t="str">
        <f aca="false">VLOOKUP(B132,INSUMOS!$A:$I,4,0)</f>
        <v>Material</v>
      </c>
      <c r="F132" s="143"/>
      <c r="G132" s="145" t="str">
        <f aca="false">VLOOKUP(B132,INSUMOS!$A:$I,5,0)</f>
        <v>UN</v>
      </c>
      <c r="H132" s="146" t="n">
        <v>6</v>
      </c>
      <c r="I132" s="147" t="n">
        <f aca="false">VLOOKUP(B132,INSUMOS!$A:$I,8,0)</f>
        <v>0.24</v>
      </c>
      <c r="J132" s="147" t="n">
        <f aca="false">TRUNC(H132*I132,2)</f>
        <v>1.44</v>
      </c>
      <c r="L132" s="68" t="n">
        <f aca="false">IF(AND(A133&lt;&gt;"",A132=""),L131+1,L131)</f>
        <v>12</v>
      </c>
      <c r="M132" s="101" t="n">
        <f aca="false">IF(OR(A132="Insumo",A132="Composição Auxiliar"),J132,"")</f>
        <v>1.44</v>
      </c>
      <c r="N132" s="102" t="str">
        <f aca="false">IF(ISNUMBER(SEARCH("COM ENCARGOS COMPLEMENTARES",D132)),J132,"")</f>
        <v/>
      </c>
      <c r="O132" s="102" t="n">
        <f aca="false">IF(N132&lt;&gt;"","",M132)</f>
        <v>1.44</v>
      </c>
      <c r="P132" s="103" t="str">
        <f aca="false">IF(A132="Composição",A131,"")</f>
        <v/>
      </c>
      <c r="Q132" s="102" t="str">
        <f aca="false">IF(P132&lt;&gt;"",SUMIF(L132:L239,L132,N132:N239),"")</f>
        <v/>
      </c>
      <c r="R132" s="102" t="str">
        <f aca="false">IF(P132&lt;&gt;"",SUMIF(L132:L239,L132,O132:O239),"")</f>
        <v/>
      </c>
    </row>
    <row r="133" customFormat="false" ht="25" hidden="false" customHeight="false" outlineLevel="0" collapsed="false">
      <c r="A133" s="143" t="s">
        <v>128</v>
      </c>
      <c r="B133" s="144" t="s">
        <v>210</v>
      </c>
      <c r="C133" s="143" t="str">
        <f aca="false">VLOOKUP(B133,INSUMOS!$A:$I,2,0)</f>
        <v>SINAPI</v>
      </c>
      <c r="D133" s="143" t="str">
        <f aca="false">VLOOKUP(B133,INSUMOS!$A:$I,3,0)</f>
        <v>ABRACADEIRA EM ACO PARA AMARRACAO DE ELETRODUTOS, TIPO U SIMPLES, COM 4"</v>
      </c>
      <c r="E133" s="143" t="str">
        <f aca="false">VLOOKUP(B133,INSUMOS!$A:$I,4,0)</f>
        <v>Material</v>
      </c>
      <c r="F133" s="143"/>
      <c r="G133" s="145" t="str">
        <f aca="false">VLOOKUP(B133,INSUMOS!$A:$I,5,0)</f>
        <v>UN</v>
      </c>
      <c r="H133" s="146" t="n">
        <v>1</v>
      </c>
      <c r="I133" s="147" t="n">
        <f aca="false">VLOOKUP(B133,INSUMOS!$A:$I,8,0)</f>
        <v>4.51</v>
      </c>
      <c r="J133" s="147" t="n">
        <f aca="false">TRUNC(H133*I133,2)</f>
        <v>4.51</v>
      </c>
      <c r="L133" s="68" t="n">
        <f aca="false">IF(AND(A134&lt;&gt;"",A133=""),L132+1,L132)</f>
        <v>12</v>
      </c>
      <c r="M133" s="101" t="n">
        <f aca="false">IF(OR(A133="Insumo",A133="Composição Auxiliar"),J133,"")</f>
        <v>4.51</v>
      </c>
      <c r="N133" s="102" t="str">
        <f aca="false">IF(ISNUMBER(SEARCH("COM ENCARGOS COMPLEMENTARES",D133)),J133,"")</f>
        <v/>
      </c>
      <c r="O133" s="102" t="n">
        <f aca="false">IF(N133&lt;&gt;"","",M133)</f>
        <v>4.51</v>
      </c>
      <c r="P133" s="103" t="str">
        <f aca="false">IF(A133="Composição",A132,"")</f>
        <v/>
      </c>
      <c r="Q133" s="102" t="str">
        <f aca="false">IF(P133&lt;&gt;"",SUMIF(L133:L239,L133,N133:N239),"")</f>
        <v/>
      </c>
      <c r="R133" s="102" t="str">
        <f aca="false">IF(P133&lt;&gt;"",SUMIF(L133:L239,L133,O133:O239),"")</f>
        <v/>
      </c>
    </row>
    <row r="134" customFormat="false" ht="14.15" hidden="false" customHeight="true" outlineLevel="0" collapsed="false">
      <c r="A134" s="143" t="s">
        <v>128</v>
      </c>
      <c r="B134" s="144" t="s">
        <v>211</v>
      </c>
      <c r="C134" s="143" t="str">
        <f aca="false">VLOOKUP(B134,INSUMOS!$A:$I,2,0)</f>
        <v>SINAPI</v>
      </c>
      <c r="D134" s="143" t="str">
        <f aca="false">VLOOKUP(B134,INSUMOS!$A:$I,3,0)</f>
        <v>ABRACADEIRA EM ACO PARA AMARRACAO DE ELETRODUTOS, TIPO U SIMPLES, COM 2"</v>
      </c>
      <c r="E134" s="143" t="str">
        <f aca="false">VLOOKUP(B134,INSUMOS!$A:$I,4,0)</f>
        <v>Material</v>
      </c>
      <c r="F134" s="143"/>
      <c r="G134" s="145" t="str">
        <f aca="false">VLOOKUP(B134,INSUMOS!$A:$I,5,0)</f>
        <v>UN</v>
      </c>
      <c r="H134" s="146" t="n">
        <v>2</v>
      </c>
      <c r="I134" s="147" t="n">
        <f aca="false">VLOOKUP(B134,INSUMOS!$A:$I,8,0)</f>
        <v>1.68</v>
      </c>
      <c r="J134" s="147" t="n">
        <f aca="false">TRUNC(H134*I134,2)</f>
        <v>3.36</v>
      </c>
      <c r="L134" s="68" t="n">
        <f aca="false">IF(AND(A135&lt;&gt;"",A134=""),L133+1,L133)</f>
        <v>12</v>
      </c>
      <c r="M134" s="101" t="n">
        <f aca="false">IF(OR(A134="Insumo",A134="Composição Auxiliar"),J134,"")</f>
        <v>3.36</v>
      </c>
      <c r="N134" s="102" t="str">
        <f aca="false">IF(ISNUMBER(SEARCH("COM ENCARGOS COMPLEMENTARES",D134)),J134,"")</f>
        <v/>
      </c>
      <c r="O134" s="102" t="n">
        <f aca="false">IF(N134&lt;&gt;"","",M134)</f>
        <v>3.36</v>
      </c>
      <c r="P134" s="103" t="str">
        <f aca="false">IF(A134="Composição",A133,"")</f>
        <v/>
      </c>
      <c r="Q134" s="102" t="str">
        <f aca="false">IF(P134&lt;&gt;"",SUMIF(L134:L239,L134,N134:N239),"")</f>
        <v/>
      </c>
      <c r="R134" s="102" t="str">
        <f aca="false">IF(P134&lt;&gt;"",SUMIF(L134:L239,L134,O134:O239),"")</f>
        <v/>
      </c>
    </row>
    <row r="135" customFormat="false" ht="14" hidden="false" customHeight="false" outlineLevel="0" collapsed="false">
      <c r="A135" s="149"/>
      <c r="B135" s="149"/>
      <c r="C135" s="149"/>
      <c r="D135" s="149"/>
      <c r="E135" s="149"/>
      <c r="F135" s="150"/>
      <c r="G135" s="149"/>
      <c r="H135" s="150"/>
      <c r="I135" s="149"/>
      <c r="J135" s="150"/>
      <c r="L135" s="68" t="n">
        <f aca="false">IF(AND(A136&lt;&gt;"",A135=""),L134+1,L134)</f>
        <v>12</v>
      </c>
      <c r="M135" s="101" t="str">
        <f aca="false">IF(OR(A135="Insumo",A135="Composição Auxiliar"),J135,"")</f>
        <v/>
      </c>
      <c r="N135" s="102" t="str">
        <f aca="false">IF(ISNUMBER(SEARCH("COM ENCARGOS COMPLEMENTARES",D135)),J135,"")</f>
        <v/>
      </c>
      <c r="O135" s="102" t="str">
        <f aca="false">IF(N135&lt;&gt;"","",M135)</f>
        <v/>
      </c>
      <c r="P135" s="103" t="str">
        <f aca="false">IF(A135="Composição",A134,"")</f>
        <v/>
      </c>
      <c r="Q135" s="102" t="str">
        <f aca="false">IF(P135&lt;&gt;"",SUMIF(L135:L239,L135,N135:N239),"")</f>
        <v/>
      </c>
      <c r="R135" s="102" t="str">
        <f aca="false">IF(P135&lt;&gt;"",SUMIF(L135:L239,L135,O135:O239),"")</f>
        <v/>
      </c>
    </row>
    <row r="136" customFormat="false" ht="14.25" hidden="false" customHeight="true" outlineLevel="0" collapsed="false">
      <c r="A136" s="149"/>
      <c r="B136" s="149"/>
      <c r="C136" s="149"/>
      <c r="D136" s="149"/>
      <c r="E136" s="149"/>
      <c r="F136" s="150"/>
      <c r="G136" s="149"/>
      <c r="H136" s="151" t="s">
        <v>135</v>
      </c>
      <c r="I136" s="151"/>
      <c r="J136" s="150" t="n">
        <f aca="false">TRUNC(SUMIF(L:L,$L136,M:M)*(1+$J$9),2)</f>
        <v>71.69</v>
      </c>
      <c r="L136" s="68" t="n">
        <f aca="false">IF(AND(A137&lt;&gt;"",A136=""),L135+1,L135)</f>
        <v>12</v>
      </c>
      <c r="M136" s="101" t="str">
        <f aca="false">IF(OR(A136="Insumo",A136="Composição Auxiliar"),J136,"")</f>
        <v/>
      </c>
      <c r="N136" s="102" t="str">
        <f aca="false">IF(ISNUMBER(SEARCH("COM ENCARGOS COMPLEMENTARES",D136)),J136,"")</f>
        <v/>
      </c>
      <c r="O136" s="102" t="str">
        <f aca="false">IF(N136&lt;&gt;"","",M136)</f>
        <v/>
      </c>
      <c r="P136" s="103" t="str">
        <f aca="false">IF(A136="Composição",A135,"")</f>
        <v/>
      </c>
      <c r="Q136" s="102" t="str">
        <f aca="false">IF(P136&lt;&gt;"",SUMIF(L136:L239,L136,N136:N239),"")</f>
        <v/>
      </c>
      <c r="R136" s="102" t="str">
        <f aca="false">IF(P136&lt;&gt;"",SUMIF(L136:L239,L136,O136:O239),"")</f>
        <v/>
      </c>
    </row>
    <row r="137" customFormat="false" ht="14.5" hidden="false" customHeight="false" outlineLevel="0" collapsed="false">
      <c r="A137" s="152"/>
      <c r="B137" s="152"/>
      <c r="C137" s="152"/>
      <c r="D137" s="152"/>
      <c r="E137" s="152"/>
      <c r="F137" s="152"/>
      <c r="G137" s="152" t="s">
        <v>140</v>
      </c>
      <c r="H137" s="153" t="n">
        <v>16</v>
      </c>
      <c r="I137" s="152" t="s">
        <v>141</v>
      </c>
      <c r="J137" s="154" t="n">
        <f aca="false">TRUNC(J136*H137,2)</f>
        <v>1147.04</v>
      </c>
      <c r="L137" s="68" t="n">
        <f aca="false">IF(AND(A138&lt;&gt;"",A137=""),L136+1,L136)</f>
        <v>12</v>
      </c>
      <c r="M137" s="101" t="str">
        <f aca="false">IF(OR(A137="Insumo",A137="Composição Auxiliar"),J137,"")</f>
        <v/>
      </c>
      <c r="N137" s="102" t="str">
        <f aca="false">IF(ISNUMBER(SEARCH("COM ENCARGOS COMPLEMENTARES",D137)),J137,"")</f>
        <v/>
      </c>
      <c r="O137" s="102" t="str">
        <f aca="false">IF(N137&lt;&gt;"","",M137)</f>
        <v/>
      </c>
      <c r="P137" s="103" t="str">
        <f aca="false">IF(A137="Composição",A136,"")</f>
        <v/>
      </c>
      <c r="Q137" s="102" t="str">
        <f aca="false">IF(P137&lt;&gt;"",SUMIF(L137:L239,L137,N137:N239),"")</f>
        <v/>
      </c>
      <c r="R137" s="102" t="str">
        <f aca="false">IF(P137&lt;&gt;"",SUMIF(L137:L239,L137,O137:O239),"")</f>
        <v/>
      </c>
    </row>
    <row r="138" customFormat="false" ht="14.5" hidden="false" customHeight="false" outlineLevel="0" collapsed="false">
      <c r="A138" s="155"/>
      <c r="B138" s="155"/>
      <c r="C138" s="155"/>
      <c r="D138" s="155"/>
      <c r="E138" s="155"/>
      <c r="F138" s="155"/>
      <c r="G138" s="155"/>
      <c r="H138" s="155"/>
      <c r="I138" s="155"/>
      <c r="J138" s="155"/>
      <c r="L138" s="68" t="n">
        <f aca="false">IF(AND(A139&lt;&gt;"",A138=""),L137+1,L137)</f>
        <v>13</v>
      </c>
      <c r="M138" s="101" t="str">
        <f aca="false">IF(OR(A138="Insumo",A138="Composição Auxiliar"),J138,"")</f>
        <v/>
      </c>
      <c r="N138" s="102" t="str">
        <f aca="false">IF(ISNUMBER(SEARCH("COM ENCARGOS COMPLEMENTARES",D138)),J138,"")</f>
        <v/>
      </c>
      <c r="O138" s="102" t="str">
        <f aca="false">IF(N138&lt;&gt;"","",M138)</f>
        <v/>
      </c>
      <c r="P138" s="103" t="str">
        <f aca="false">IF(A138="Composição",A137,"")</f>
        <v/>
      </c>
      <c r="Q138" s="102" t="str">
        <f aca="false">IF(P138&lt;&gt;"",SUMIF(L138:L239,L138,N138:N239),"")</f>
        <v/>
      </c>
      <c r="R138" s="102" t="str">
        <f aca="false">IF(P138&lt;&gt;"",SUMIF(L138:L239,L138,O138:O239),"")</f>
        <v/>
      </c>
    </row>
    <row r="139" customFormat="false" ht="25.5" hidden="false" customHeight="true" outlineLevel="0" collapsed="false">
      <c r="A139" s="118" t="s">
        <v>212</v>
      </c>
      <c r="B139" s="119" t="s">
        <v>115</v>
      </c>
      <c r="C139" s="118" t="s">
        <v>116</v>
      </c>
      <c r="D139" s="118" t="s">
        <v>117</v>
      </c>
      <c r="E139" s="118" t="s">
        <v>118</v>
      </c>
      <c r="F139" s="118"/>
      <c r="G139" s="120" t="s">
        <v>119</v>
      </c>
      <c r="H139" s="119" t="s">
        <v>120</v>
      </c>
      <c r="I139" s="119" t="s">
        <v>130</v>
      </c>
      <c r="J139" s="119" t="s">
        <v>131</v>
      </c>
      <c r="L139" s="68" t="n">
        <f aca="false">IF(AND(A140&lt;&gt;"",A139=""),L138+1,L138)</f>
        <v>13</v>
      </c>
      <c r="M139" s="101" t="str">
        <f aca="false">IF(OR(A139="Insumo",A139="Composição Auxiliar"),J139,"")</f>
        <v/>
      </c>
      <c r="N139" s="102" t="str">
        <f aca="false">IF(ISNUMBER(SEARCH("COM ENCARGOS COMPLEMENTARES",D139)),J139,"")</f>
        <v/>
      </c>
      <c r="O139" s="102" t="str">
        <f aca="false">IF(N139&lt;&gt;"","",M139)</f>
        <v/>
      </c>
      <c r="P139" s="103" t="str">
        <f aca="false">IF(A139="Composição",A138,"")</f>
        <v/>
      </c>
      <c r="Q139" s="102" t="str">
        <f aca="false">IF(P139&lt;&gt;"",SUMIF(L139:L239,L139,N139:N239),"")</f>
        <v/>
      </c>
      <c r="R139" s="102" t="str">
        <f aca="false">IF(P139&lt;&gt;"",SUMIF(L139:L239,L139,O139:O239),"")</f>
        <v/>
      </c>
    </row>
    <row r="140" customFormat="false" ht="38.25" hidden="false" customHeight="true" outlineLevel="0" collapsed="false">
      <c r="A140" s="122" t="s">
        <v>121</v>
      </c>
      <c r="B140" s="55" t="s">
        <v>68</v>
      </c>
      <c r="C140" s="122" t="s">
        <v>153</v>
      </c>
      <c r="D140" s="122" t="s">
        <v>213</v>
      </c>
      <c r="E140" s="122" t="s">
        <v>170</v>
      </c>
      <c r="F140" s="122"/>
      <c r="G140" s="123" t="s">
        <v>214</v>
      </c>
      <c r="H140" s="124" t="n">
        <v>1</v>
      </c>
      <c r="I140" s="125" t="n">
        <f aca="false">SUMIF(L:L,$L140,M:M)</f>
        <v>29.72</v>
      </c>
      <c r="J140" s="125" t="n">
        <f aca="false">TRUNC(H140*I140,2)</f>
        <v>29.72</v>
      </c>
      <c r="L140" s="68" t="n">
        <f aca="false">IF(AND(A141&lt;&gt;"",A140=""),L139+1,L139)</f>
        <v>13</v>
      </c>
      <c r="M140" s="101" t="str">
        <f aca="false">IF(OR(A140="Insumo",A140="Composição Auxiliar"),J140,"")</f>
        <v/>
      </c>
      <c r="N140" s="102" t="str">
        <f aca="false">IF(ISNUMBER(SEARCH("COM ENCARGOS COMPLEMENTARES",D140)),J140,"")</f>
        <v/>
      </c>
      <c r="O140" s="102" t="str">
        <f aca="false">IF(N140&lt;&gt;"","",M140)</f>
        <v/>
      </c>
      <c r="P140" s="103" t="str">
        <f aca="false">IF(A140="Composição",A139,"")</f>
        <v> 2.3.6 </v>
      </c>
      <c r="Q140" s="102" t="n">
        <f aca="false">IF(P140&lt;&gt;"",SUMIF(L140:L239,L140,N140:N239),"")</f>
        <v>10.13</v>
      </c>
      <c r="R140" s="102" t="n">
        <f aca="false">IF(P140&lt;&gt;"",SUMIF(L140:L239,L140,O140:O239),"")</f>
        <v>19.59</v>
      </c>
    </row>
    <row r="141" customFormat="false" ht="25" hidden="false" customHeight="true" outlineLevel="0" collapsed="false">
      <c r="A141" s="129" t="s">
        <v>126</v>
      </c>
      <c r="B141" s="130" t="s">
        <v>181</v>
      </c>
      <c r="C141" s="129" t="s">
        <v>122</v>
      </c>
      <c r="D141" s="129" t="s">
        <v>182</v>
      </c>
      <c r="E141" s="129" t="s">
        <v>124</v>
      </c>
      <c r="F141" s="129"/>
      <c r="G141" s="131" t="s">
        <v>125</v>
      </c>
      <c r="H141" s="132" t="n">
        <v>0.22</v>
      </c>
      <c r="I141" s="133" t="n">
        <f aca="false">SUMIFS('ANALÍTICA AUXILIARES'!J:J,'ANALÍTICA AUXILIARES'!A:A,"Composição",'ANALÍTICA AUXILIARES'!B:B,$B141)</f>
        <v>26.75</v>
      </c>
      <c r="J141" s="133" t="n">
        <f aca="false">TRUNC(H141*I141,2)</f>
        <v>5.88</v>
      </c>
      <c r="L141" s="68" t="n">
        <f aca="false">IF(AND(A142&lt;&gt;"",A141=""),L140+1,L140)</f>
        <v>13</v>
      </c>
      <c r="M141" s="101" t="n">
        <f aca="false">IF(OR(A141="Insumo",A141="Composição Auxiliar"),J141,"")</f>
        <v>5.88</v>
      </c>
      <c r="N141" s="102" t="n">
        <f aca="false">IF(ISNUMBER(SEARCH("COM ENCARGOS COMPLEMENTARES",D141)),J141,"")</f>
        <v>5.88</v>
      </c>
      <c r="O141" s="102" t="str">
        <f aca="false">IF(N141&lt;&gt;"","",M141)</f>
        <v/>
      </c>
      <c r="P141" s="103" t="str">
        <f aca="false">IF(A141="Composição",A140,"")</f>
        <v/>
      </c>
      <c r="Q141" s="102" t="str">
        <f aca="false">IF(P141&lt;&gt;"",SUMIF(L141:L239,L141,N141:N239),"")</f>
        <v/>
      </c>
      <c r="R141" s="102" t="str">
        <f aca="false">IF(P141&lt;&gt;"",SUMIF(L141:L239,L141,O141:O239),"")</f>
        <v/>
      </c>
    </row>
    <row r="142" customFormat="false" ht="14.15" hidden="false" customHeight="true" outlineLevel="0" collapsed="false">
      <c r="A142" s="129" t="s">
        <v>126</v>
      </c>
      <c r="B142" s="130" t="s">
        <v>179</v>
      </c>
      <c r="C142" s="129" t="s">
        <v>122</v>
      </c>
      <c r="D142" s="129" t="s">
        <v>180</v>
      </c>
      <c r="E142" s="129" t="s">
        <v>124</v>
      </c>
      <c r="F142" s="129"/>
      <c r="G142" s="131" t="s">
        <v>125</v>
      </c>
      <c r="H142" s="132" t="n">
        <v>0.22</v>
      </c>
      <c r="I142" s="133" t="n">
        <f aca="false">SUMIFS('ANALÍTICA AUXILIARES'!J:J,'ANALÍTICA AUXILIARES'!A:A,"Composição",'ANALÍTICA AUXILIARES'!B:B,$B142)</f>
        <v>19.33</v>
      </c>
      <c r="J142" s="133" t="n">
        <f aca="false">TRUNC(H142*I142,2)</f>
        <v>4.25</v>
      </c>
      <c r="L142" s="68" t="n">
        <f aca="false">IF(AND(A143&lt;&gt;"",A142=""),L141+1,L141)</f>
        <v>13</v>
      </c>
      <c r="M142" s="101" t="n">
        <f aca="false">IF(OR(A142="Insumo",A142="Composição Auxiliar"),J142,"")</f>
        <v>4.25</v>
      </c>
      <c r="N142" s="102" t="n">
        <f aca="false">IF(ISNUMBER(SEARCH("COM ENCARGOS COMPLEMENTARES",D142)),J142,"")</f>
        <v>4.25</v>
      </c>
      <c r="O142" s="102" t="str">
        <f aca="false">IF(N142&lt;&gt;"","",M142)</f>
        <v/>
      </c>
      <c r="P142" s="103" t="str">
        <f aca="false">IF(A142="Composição",A141,"")</f>
        <v/>
      </c>
      <c r="Q142" s="102" t="str">
        <f aca="false">IF(P142&lt;&gt;"",SUMIF(L142:L239,L142,N142:N239),"")</f>
        <v/>
      </c>
      <c r="R142" s="102" t="str">
        <f aca="false">IF(P142&lt;&gt;"",SUMIF(L142:L239,L142,O142:O239),"")</f>
        <v/>
      </c>
    </row>
    <row r="143" customFormat="false" ht="14.25" hidden="false" customHeight="true" outlineLevel="0" collapsed="false">
      <c r="A143" s="143" t="s">
        <v>128</v>
      </c>
      <c r="B143" s="144" t="s">
        <v>215</v>
      </c>
      <c r="C143" s="143" t="str">
        <f aca="false">VLOOKUP(B143,INSUMOS!$A:$I,2,0)</f>
        <v>SINAPI</v>
      </c>
      <c r="D143" s="143" t="str">
        <f aca="false">VLOOKUP(B143,INSUMOS!$A:$I,3,0)</f>
        <v>ELETRODUTO FLEXIVEL, EM ACO GALVANIZADO, REVESTIDO EXTERNAMENTE COM PVC PRETO, DIAMETRO EXTERNO DE 32 MM (1"), TIPO SEALTUBO</v>
      </c>
      <c r="E143" s="143" t="str">
        <f aca="false">VLOOKUP(B143,INSUMOS!$A:$I,4,0)</f>
        <v>Material</v>
      </c>
      <c r="F143" s="143"/>
      <c r="G143" s="145" t="str">
        <f aca="false">VLOOKUP(B143,INSUMOS!$A:$I,5,0)</f>
        <v>M</v>
      </c>
      <c r="H143" s="146" t="n">
        <v>1.15</v>
      </c>
      <c r="I143" s="147" t="n">
        <f aca="false">VLOOKUP(B143,INSUMOS!$A:$I,8,0)</f>
        <v>15.6</v>
      </c>
      <c r="J143" s="147" t="n">
        <f aca="false">TRUNC(H143*I143,2)</f>
        <v>17.94</v>
      </c>
      <c r="L143" s="68" t="n">
        <f aca="false">IF(AND(A144&lt;&gt;"",A143=""),L142+1,L142)</f>
        <v>13</v>
      </c>
      <c r="M143" s="101" t="n">
        <f aca="false">IF(OR(A143="Insumo",A143="Composição Auxiliar"),J143,"")</f>
        <v>17.94</v>
      </c>
      <c r="N143" s="102" t="str">
        <f aca="false">IF(ISNUMBER(SEARCH("COM ENCARGOS COMPLEMENTARES",D143)),J143,"")</f>
        <v/>
      </c>
      <c r="O143" s="102" t="n">
        <f aca="false">IF(N143&lt;&gt;"","",M143)</f>
        <v>17.94</v>
      </c>
      <c r="P143" s="103" t="str">
        <f aca="false">IF(A143="Composição",A142,"")</f>
        <v/>
      </c>
      <c r="Q143" s="102" t="str">
        <f aca="false">IF(P143&lt;&gt;"",SUMIF(L143:L239,L143,N143:N239),"")</f>
        <v/>
      </c>
      <c r="R143" s="102" t="str">
        <f aca="false">IF(P143&lt;&gt;"",SUMIF(L143:L239,L143,O143:O239),"")</f>
        <v/>
      </c>
    </row>
    <row r="144" customFormat="false" ht="25" hidden="false" customHeight="false" outlineLevel="0" collapsed="false">
      <c r="A144" s="143" t="s">
        <v>128</v>
      </c>
      <c r="B144" s="144" t="s">
        <v>216</v>
      </c>
      <c r="C144" s="143" t="str">
        <f aca="false">VLOOKUP(B144,INSUMOS!$A:$I,2,0)</f>
        <v>SINAPI</v>
      </c>
      <c r="D144" s="143" t="str">
        <f aca="false">VLOOKUP(B144,INSUMOS!$A:$I,3,0)</f>
        <v>ABRACADEIRA EM ACO PARA AMARRACAO DE ELETRODUTOS, TIPO D, COM 1" E PARAFUSO DE FIXACAO</v>
      </c>
      <c r="E144" s="143" t="str">
        <f aca="false">VLOOKUP(B144,INSUMOS!$A:$I,4,0)</f>
        <v>Material</v>
      </c>
      <c r="F144" s="143"/>
      <c r="G144" s="145" t="str">
        <f aca="false">VLOOKUP(B144,INSUMOS!$A:$I,5,0)</f>
        <v>UN</v>
      </c>
      <c r="H144" s="146" t="n">
        <v>1</v>
      </c>
      <c r="I144" s="147" t="n">
        <f aca="false">VLOOKUP(B144,INSUMOS!$A:$I,8,0)</f>
        <v>1.65</v>
      </c>
      <c r="J144" s="147" t="n">
        <f aca="false">TRUNC(H144*I144,2)</f>
        <v>1.65</v>
      </c>
      <c r="L144" s="68" t="n">
        <f aca="false">IF(AND(A145&lt;&gt;"",A144=""),L143+1,L143)</f>
        <v>13</v>
      </c>
      <c r="M144" s="101" t="n">
        <f aca="false">IF(OR(A144="Insumo",A144="Composição Auxiliar"),J144,"")</f>
        <v>1.65</v>
      </c>
      <c r="N144" s="102" t="str">
        <f aca="false">IF(ISNUMBER(SEARCH("COM ENCARGOS COMPLEMENTARES",D144)),J144,"")</f>
        <v/>
      </c>
      <c r="O144" s="102" t="n">
        <f aca="false">IF(N144&lt;&gt;"","",M144)</f>
        <v>1.65</v>
      </c>
      <c r="P144" s="103" t="str">
        <f aca="false">IF(A144="Composição",A143,"")</f>
        <v/>
      </c>
      <c r="Q144" s="102" t="str">
        <f aca="false">IF(P144&lt;&gt;"",SUMIF(L144:L239,L144,N144:N239),"")</f>
        <v/>
      </c>
      <c r="R144" s="102" t="str">
        <f aca="false">IF(P144&lt;&gt;"",SUMIF(L144:L239,L144,O144:O239),"")</f>
        <v/>
      </c>
    </row>
    <row r="145" customFormat="false" ht="14" hidden="false" customHeight="false" outlineLevel="0" collapsed="false">
      <c r="A145" s="149"/>
      <c r="B145" s="149"/>
      <c r="C145" s="149"/>
      <c r="D145" s="149"/>
      <c r="E145" s="149"/>
      <c r="F145" s="150"/>
      <c r="G145" s="149"/>
      <c r="H145" s="150"/>
      <c r="I145" s="149"/>
      <c r="J145" s="150"/>
      <c r="L145" s="68" t="n">
        <f aca="false">IF(AND(A146&lt;&gt;"",A145=""),L144+1,L144)</f>
        <v>13</v>
      </c>
      <c r="M145" s="101" t="str">
        <f aca="false">IF(OR(A145="Insumo",A145="Composição Auxiliar"),J145,"")</f>
        <v/>
      </c>
      <c r="N145" s="102" t="str">
        <f aca="false">IF(ISNUMBER(SEARCH("COM ENCARGOS COMPLEMENTARES",D145)),J145,"")</f>
        <v/>
      </c>
      <c r="O145" s="102" t="str">
        <f aca="false">IF(N145&lt;&gt;"","",M145)</f>
        <v/>
      </c>
      <c r="P145" s="103" t="str">
        <f aca="false">IF(A145="Composição",A144,"")</f>
        <v/>
      </c>
      <c r="Q145" s="102" t="str">
        <f aca="false">IF(P145&lt;&gt;"",SUMIF(L145:L239,L145,N145:N239),"")</f>
        <v/>
      </c>
      <c r="R145" s="102" t="str">
        <f aca="false">IF(P145&lt;&gt;"",SUMIF(L145:L239,L145,O145:O239),"")</f>
        <v/>
      </c>
    </row>
    <row r="146" customFormat="false" ht="25" hidden="false" customHeight="true" outlineLevel="0" collapsed="false">
      <c r="A146" s="149"/>
      <c r="B146" s="149"/>
      <c r="C146" s="149"/>
      <c r="D146" s="149"/>
      <c r="E146" s="149"/>
      <c r="F146" s="150"/>
      <c r="G146" s="149"/>
      <c r="H146" s="151" t="s">
        <v>135</v>
      </c>
      <c r="I146" s="151"/>
      <c r="J146" s="150" t="n">
        <f aca="false">TRUNC(SUMIF(L:L,$L146,M:M)*(1+$J$9),2)</f>
        <v>36.32</v>
      </c>
      <c r="L146" s="68" t="n">
        <f aca="false">IF(AND(A147&lt;&gt;"",A146=""),L145+1,L145)</f>
        <v>13</v>
      </c>
      <c r="M146" s="101" t="str">
        <f aca="false">IF(OR(A146="Insumo",A146="Composição Auxiliar"),J146,"")</f>
        <v/>
      </c>
      <c r="N146" s="102" t="str">
        <f aca="false">IF(ISNUMBER(SEARCH("COM ENCARGOS COMPLEMENTARES",D146)),J146,"")</f>
        <v/>
      </c>
      <c r="O146" s="102" t="str">
        <f aca="false">IF(N146&lt;&gt;"","",M146)</f>
        <v/>
      </c>
      <c r="P146" s="103" t="str">
        <f aca="false">IF(A146="Composição",A145,"")</f>
        <v/>
      </c>
      <c r="Q146" s="102" t="str">
        <f aca="false">IF(P146&lt;&gt;"",SUMIF(L146:L239,L146,N146:N239),"")</f>
        <v/>
      </c>
      <c r="R146" s="102" t="str">
        <f aca="false">IF(P146&lt;&gt;"",SUMIF(L146:L239,L146,O146:O239),"")</f>
        <v/>
      </c>
    </row>
    <row r="147" customFormat="false" ht="14.5" hidden="false" customHeight="false" outlineLevel="0" collapsed="false">
      <c r="A147" s="152"/>
      <c r="B147" s="152"/>
      <c r="C147" s="152"/>
      <c r="D147" s="152"/>
      <c r="E147" s="152"/>
      <c r="F147" s="152"/>
      <c r="G147" s="152" t="s">
        <v>140</v>
      </c>
      <c r="H147" s="153" t="n">
        <v>16</v>
      </c>
      <c r="I147" s="152" t="s">
        <v>141</v>
      </c>
      <c r="J147" s="154" t="n">
        <f aca="false">TRUNC(J146*H147,2)</f>
        <v>581.12</v>
      </c>
      <c r="L147" s="68" t="n">
        <f aca="false">IF(AND(A148&lt;&gt;"",A147=""),L146+1,L146)</f>
        <v>13</v>
      </c>
      <c r="M147" s="101" t="str">
        <f aca="false">IF(OR(A147="Insumo",A147="Composição Auxiliar"),J147,"")</f>
        <v/>
      </c>
      <c r="N147" s="102" t="str">
        <f aca="false">IF(ISNUMBER(SEARCH("COM ENCARGOS COMPLEMENTARES",D147)),J147,"")</f>
        <v/>
      </c>
      <c r="O147" s="102" t="str">
        <f aca="false">IF(N147&lt;&gt;"","",M147)</f>
        <v/>
      </c>
      <c r="P147" s="103" t="str">
        <f aca="false">IF(A147="Composição",A146,"")</f>
        <v/>
      </c>
      <c r="Q147" s="102" t="str">
        <f aca="false">IF(P147&lt;&gt;"",SUMIF(L147:L239,L147,N147:N239),"")</f>
        <v/>
      </c>
      <c r="R147" s="102" t="str">
        <f aca="false">IF(P147&lt;&gt;"",SUMIF(L147:L239,L147,O147:O239),"")</f>
        <v/>
      </c>
    </row>
    <row r="148" customFormat="false" ht="14.5" hidden="false" customHeight="false" outlineLevel="0" collapsed="false">
      <c r="A148" s="155"/>
      <c r="B148" s="155"/>
      <c r="C148" s="155"/>
      <c r="D148" s="155"/>
      <c r="E148" s="155"/>
      <c r="F148" s="155"/>
      <c r="G148" s="155"/>
      <c r="H148" s="155"/>
      <c r="I148" s="155"/>
      <c r="J148" s="155"/>
      <c r="L148" s="68" t="n">
        <f aca="false">IF(AND(A149&lt;&gt;"",A148=""),L147+1,L147)</f>
        <v>14</v>
      </c>
      <c r="M148" s="101" t="str">
        <f aca="false">IF(OR(A148="Insumo",A148="Composição Auxiliar"),J148,"")</f>
        <v/>
      </c>
      <c r="N148" s="102" t="str">
        <f aca="false">IF(ISNUMBER(SEARCH("COM ENCARGOS COMPLEMENTARES",D148)),J148,"")</f>
        <v/>
      </c>
      <c r="O148" s="102" t="str">
        <f aca="false">IF(N148&lt;&gt;"","",M148)</f>
        <v/>
      </c>
      <c r="P148" s="103" t="str">
        <f aca="false">IF(A148="Composição",A147,"")</f>
        <v/>
      </c>
      <c r="Q148" s="102" t="str">
        <f aca="false">IF(P148&lt;&gt;"",SUMIF(L148:L239,L148,N148:N239),"")</f>
        <v/>
      </c>
      <c r="R148" s="102" t="str">
        <f aca="false">IF(P148&lt;&gt;"",SUMIF(L148:L239,L148,O148:O239),"")</f>
        <v/>
      </c>
    </row>
    <row r="149" customFormat="false" ht="14" hidden="false" customHeight="false" outlineLevel="0" collapsed="false">
      <c r="A149" s="97" t="s">
        <v>69</v>
      </c>
      <c r="B149" s="97"/>
      <c r="C149" s="97"/>
      <c r="D149" s="97" t="s">
        <v>70</v>
      </c>
      <c r="E149" s="97"/>
      <c r="F149" s="97"/>
      <c r="G149" s="97"/>
      <c r="H149" s="98"/>
      <c r="I149" s="97"/>
      <c r="J149" s="99"/>
      <c r="L149" s="68" t="n">
        <f aca="false">IF(AND(A150&lt;&gt;"",A149=""),L148+1,L148)</f>
        <v>14</v>
      </c>
      <c r="M149" s="101" t="str">
        <f aca="false">IF(OR(A149="Insumo",A149="Composição Auxiliar"),J149,"")</f>
        <v/>
      </c>
      <c r="N149" s="102" t="str">
        <f aca="false">IF(ISNUMBER(SEARCH("COM ENCARGOS COMPLEMENTARES",D149)),J149,"")</f>
        <v/>
      </c>
      <c r="O149" s="102" t="str">
        <f aca="false">IF(N149&lt;&gt;"","",M149)</f>
        <v/>
      </c>
      <c r="P149" s="103" t="str">
        <f aca="false">IF(A149="Composição",A148,"")</f>
        <v/>
      </c>
      <c r="Q149" s="102" t="str">
        <f aca="false">IF(P149&lt;&gt;"",SUMIF(L149:L239,L149,N149:N239),"")</f>
        <v/>
      </c>
      <c r="R149" s="102" t="str">
        <f aca="false">IF(P149&lt;&gt;"",SUMIF(L149:L239,L149,O149:O239),"")</f>
        <v/>
      </c>
    </row>
    <row r="150" customFormat="false" ht="14.25" hidden="false" customHeight="true" outlineLevel="0" collapsed="false">
      <c r="A150" s="118" t="s">
        <v>71</v>
      </c>
      <c r="B150" s="119" t="s">
        <v>115</v>
      </c>
      <c r="C150" s="118" t="s">
        <v>116</v>
      </c>
      <c r="D150" s="118" t="s">
        <v>117</v>
      </c>
      <c r="E150" s="118" t="s">
        <v>118</v>
      </c>
      <c r="F150" s="118"/>
      <c r="G150" s="120" t="s">
        <v>119</v>
      </c>
      <c r="H150" s="119" t="s">
        <v>120</v>
      </c>
      <c r="I150" s="119" t="s">
        <v>130</v>
      </c>
      <c r="J150" s="119" t="s">
        <v>131</v>
      </c>
      <c r="L150" s="68" t="n">
        <f aca="false">IF(AND(A151&lt;&gt;"",A150=""),L149+1,L149)</f>
        <v>14</v>
      </c>
      <c r="M150" s="101" t="str">
        <f aca="false">IF(OR(A150="Insumo",A150="Composição Auxiliar"),J150,"")</f>
        <v/>
      </c>
      <c r="N150" s="102" t="str">
        <f aca="false">IF(ISNUMBER(SEARCH("COM ENCARGOS COMPLEMENTARES",D150)),J150,"")</f>
        <v/>
      </c>
      <c r="O150" s="102" t="str">
        <f aca="false">IF(N150&lt;&gt;"","",M150)</f>
        <v/>
      </c>
      <c r="P150" s="103" t="str">
        <f aca="false">IF(A150="Composição",A149,"")</f>
        <v/>
      </c>
      <c r="Q150" s="102" t="str">
        <f aca="false">IF(P150&lt;&gt;"",SUMIF(L150:L239,L150,N150:N239),"")</f>
        <v/>
      </c>
      <c r="R150" s="102" t="str">
        <f aca="false">IF(P150&lt;&gt;"",SUMIF(L150:L239,L150,O150:O239),"")</f>
        <v/>
      </c>
    </row>
    <row r="151" customFormat="false" ht="25.5" hidden="false" customHeight="true" outlineLevel="0" collapsed="false">
      <c r="A151" s="122" t="s">
        <v>121</v>
      </c>
      <c r="B151" s="55" t="s">
        <v>72</v>
      </c>
      <c r="C151" s="122" t="s">
        <v>153</v>
      </c>
      <c r="D151" s="122" t="s">
        <v>217</v>
      </c>
      <c r="E151" s="122" t="s">
        <v>170</v>
      </c>
      <c r="F151" s="122"/>
      <c r="G151" s="123" t="s">
        <v>171</v>
      </c>
      <c r="H151" s="124" t="n">
        <v>1</v>
      </c>
      <c r="I151" s="125" t="n">
        <f aca="false">SUMIF(L:L,$L151,M:M)</f>
        <v>16.52</v>
      </c>
      <c r="J151" s="125" t="n">
        <f aca="false">TRUNC(H151*I151,2)</f>
        <v>16.52</v>
      </c>
      <c r="L151" s="68" t="n">
        <f aca="false">IF(AND(A152&lt;&gt;"",A151=""),L150+1,L150)</f>
        <v>14</v>
      </c>
      <c r="M151" s="101" t="str">
        <f aca="false">IF(OR(A151="Insumo",A151="Composição Auxiliar"),J151,"")</f>
        <v/>
      </c>
      <c r="N151" s="102" t="str">
        <f aca="false">IF(ISNUMBER(SEARCH("COM ENCARGOS COMPLEMENTARES",D151)),J151,"")</f>
        <v/>
      </c>
      <c r="O151" s="102" t="str">
        <f aca="false">IF(N151&lt;&gt;"","",M151)</f>
        <v/>
      </c>
      <c r="P151" s="103" t="str">
        <f aca="false">IF(A151="Composição",A150,"")</f>
        <v> 2.4.1 </v>
      </c>
      <c r="Q151" s="102" t="n">
        <f aca="false">IF(P151&lt;&gt;"",SUMIF(L151:L239,L151,N151:N239),"")</f>
        <v>3.82</v>
      </c>
      <c r="R151" s="102" t="n">
        <f aca="false">IF(P151&lt;&gt;"",SUMIF(L151:L239,L151,O151:O239),"")</f>
        <v>12.7</v>
      </c>
    </row>
    <row r="152" customFormat="false" ht="25" hidden="false" customHeight="true" outlineLevel="0" collapsed="false">
      <c r="A152" s="129" t="s">
        <v>126</v>
      </c>
      <c r="B152" s="130" t="s">
        <v>181</v>
      </c>
      <c r="C152" s="129" t="s">
        <v>122</v>
      </c>
      <c r="D152" s="129" t="s">
        <v>182</v>
      </c>
      <c r="E152" s="129" t="s">
        <v>124</v>
      </c>
      <c r="F152" s="129"/>
      <c r="G152" s="131" t="s">
        <v>125</v>
      </c>
      <c r="H152" s="132" t="n">
        <v>0.083</v>
      </c>
      <c r="I152" s="133" t="n">
        <f aca="false">SUMIFS('ANALÍTICA AUXILIARES'!J:J,'ANALÍTICA AUXILIARES'!A:A,"Composição",'ANALÍTICA AUXILIARES'!B:B,$B152)</f>
        <v>26.75</v>
      </c>
      <c r="J152" s="133" t="n">
        <f aca="false">TRUNC(H152*I152,2)</f>
        <v>2.22</v>
      </c>
      <c r="L152" s="68" t="n">
        <f aca="false">IF(AND(A153&lt;&gt;"",A152=""),L151+1,L151)</f>
        <v>14</v>
      </c>
      <c r="M152" s="101" t="n">
        <f aca="false">IF(OR(A152="Insumo",A152="Composição Auxiliar"),J152,"")</f>
        <v>2.22</v>
      </c>
      <c r="N152" s="102" t="n">
        <f aca="false">IF(ISNUMBER(SEARCH("COM ENCARGOS COMPLEMENTARES",D152)),J152,"")</f>
        <v>2.22</v>
      </c>
      <c r="O152" s="102" t="str">
        <f aca="false">IF(N152&lt;&gt;"","",M152)</f>
        <v/>
      </c>
      <c r="P152" s="103" t="str">
        <f aca="false">IF(A152="Composição",A151,"")</f>
        <v/>
      </c>
      <c r="Q152" s="102" t="str">
        <f aca="false">IF(P152&lt;&gt;"",SUMIF(L152:L239,L152,N152:N239),"")</f>
        <v/>
      </c>
      <c r="R152" s="102" t="str">
        <f aca="false">IF(P152&lt;&gt;"",SUMIF(L152:L239,L152,O152:O239),"")</f>
        <v/>
      </c>
    </row>
    <row r="153" customFormat="false" ht="14.25" hidden="false" customHeight="true" outlineLevel="0" collapsed="false">
      <c r="A153" s="129" t="s">
        <v>126</v>
      </c>
      <c r="B153" s="130" t="s">
        <v>179</v>
      </c>
      <c r="C153" s="129" t="s">
        <v>122</v>
      </c>
      <c r="D153" s="129" t="s">
        <v>180</v>
      </c>
      <c r="E153" s="129" t="s">
        <v>124</v>
      </c>
      <c r="F153" s="129"/>
      <c r="G153" s="131" t="s">
        <v>125</v>
      </c>
      <c r="H153" s="132" t="n">
        <v>0.083</v>
      </c>
      <c r="I153" s="133" t="n">
        <f aca="false">SUMIFS('ANALÍTICA AUXILIARES'!J:J,'ANALÍTICA AUXILIARES'!A:A,"Composição",'ANALÍTICA AUXILIARES'!B:B,$B153)</f>
        <v>19.33</v>
      </c>
      <c r="J153" s="133" t="n">
        <f aca="false">TRUNC(H153*I153,2)</f>
        <v>1.6</v>
      </c>
      <c r="L153" s="68" t="n">
        <f aca="false">IF(AND(A154&lt;&gt;"",A153=""),L152+1,L152)</f>
        <v>14</v>
      </c>
      <c r="M153" s="101" t="n">
        <f aca="false">IF(OR(A153="Insumo",A153="Composição Auxiliar"),J153,"")</f>
        <v>1.6</v>
      </c>
      <c r="N153" s="102" t="n">
        <f aca="false">IF(ISNUMBER(SEARCH("COM ENCARGOS COMPLEMENTARES",D153)),J153,"")</f>
        <v>1.6</v>
      </c>
      <c r="O153" s="102" t="str">
        <f aca="false">IF(N153&lt;&gt;"","",M153)</f>
        <v/>
      </c>
      <c r="P153" s="103" t="str">
        <f aca="false">IF(A153="Composição",A152,"")</f>
        <v/>
      </c>
      <c r="Q153" s="102" t="str">
        <f aca="false">IF(P153&lt;&gt;"",SUMIF(L153:L239,L153,N153:N239),"")</f>
        <v/>
      </c>
      <c r="R153" s="102" t="str">
        <f aca="false">IF(P153&lt;&gt;"",SUMIF(L153:L239,L153,O153:O239),"")</f>
        <v/>
      </c>
    </row>
    <row r="154" customFormat="false" ht="25" hidden="false" customHeight="true" outlineLevel="0" collapsed="false">
      <c r="A154" s="143" t="s">
        <v>128</v>
      </c>
      <c r="B154" s="144" t="s">
        <v>218</v>
      </c>
      <c r="C154" s="143" t="str">
        <f aca="false">VLOOKUP(B154,INSUMOS!$A:$I,2,0)</f>
        <v>ORSE</v>
      </c>
      <c r="D154" s="143" t="str">
        <f aca="false">VLOOKUP(B154,INSUMOS!$A:$I,3,0)</f>
        <v>Parafuso em aço inox, cabeça sextavada 1/4" x 1 1/4"</v>
      </c>
      <c r="E154" s="143" t="str">
        <f aca="false">VLOOKUP(B154,INSUMOS!$A:$I,4,0)</f>
        <v>Material</v>
      </c>
      <c r="F154" s="143"/>
      <c r="G154" s="145" t="str">
        <f aca="false">VLOOKUP(B154,INSUMOS!$A:$I,5,0)</f>
        <v>un</v>
      </c>
      <c r="H154" s="146" t="n">
        <v>2</v>
      </c>
      <c r="I154" s="147" t="n">
        <f aca="false">VLOOKUP(B154,INSUMOS!$A:$I,8,0)</f>
        <v>0.6</v>
      </c>
      <c r="J154" s="147" t="n">
        <f aca="false">TRUNC(H154*I154,2)</f>
        <v>1.2</v>
      </c>
      <c r="L154" s="68" t="n">
        <f aca="false">IF(AND(A155&lt;&gt;"",A154=""),L153+1,L153)</f>
        <v>14</v>
      </c>
      <c r="M154" s="101" t="n">
        <f aca="false">IF(OR(A154="Insumo",A154="Composição Auxiliar"),J154,"")</f>
        <v>1.2</v>
      </c>
      <c r="N154" s="102" t="str">
        <f aca="false">IF(ISNUMBER(SEARCH("COM ENCARGOS COMPLEMENTARES",D154)),J154,"")</f>
        <v/>
      </c>
      <c r="O154" s="102" t="n">
        <f aca="false">IF(N154&lt;&gt;"","",M154)</f>
        <v>1.2</v>
      </c>
      <c r="P154" s="103" t="str">
        <f aca="false">IF(A154="Composição",A153,"")</f>
        <v/>
      </c>
      <c r="Q154" s="102" t="str">
        <f aca="false">IF(P154&lt;&gt;"",SUMIF(L154:L239,L154,N154:N239),"")</f>
        <v/>
      </c>
      <c r="R154" s="102" t="str">
        <f aca="false">IF(P154&lt;&gt;"",SUMIF(L154:L239,L154,O154:O239),"")</f>
        <v/>
      </c>
    </row>
    <row r="155" customFormat="false" ht="14" hidden="false" customHeight="false" outlineLevel="0" collapsed="false">
      <c r="A155" s="143" t="s">
        <v>128</v>
      </c>
      <c r="B155" s="144" t="s">
        <v>219</v>
      </c>
      <c r="C155" s="143" t="str">
        <f aca="false">VLOOKUP(B155,INSUMOS!$A:$I,2,0)</f>
        <v>ORSE</v>
      </c>
      <c r="D155" s="143" t="str">
        <f aca="false">VLOOKUP(B155,INSUMOS!$A:$I,3,0)</f>
        <v>Arruela de pressão em aço inox 1/4"</v>
      </c>
      <c r="E155" s="143" t="str">
        <f aca="false">VLOOKUP(B155,INSUMOS!$A:$I,4,0)</f>
        <v>Material</v>
      </c>
      <c r="F155" s="143"/>
      <c r="G155" s="145" t="str">
        <f aca="false">VLOOKUP(B155,INSUMOS!$A:$I,5,0)</f>
        <v>un</v>
      </c>
      <c r="H155" s="146" t="n">
        <v>2</v>
      </c>
      <c r="I155" s="147" t="n">
        <f aca="false">VLOOKUP(B155,INSUMOS!$A:$I,8,0)</f>
        <v>0.25</v>
      </c>
      <c r="J155" s="147" t="n">
        <f aca="false">TRUNC(H155*I155,2)</f>
        <v>0.5</v>
      </c>
      <c r="L155" s="68" t="n">
        <f aca="false">IF(AND(A156&lt;&gt;"",A155=""),L154+1,L154)</f>
        <v>14</v>
      </c>
      <c r="M155" s="101" t="n">
        <f aca="false">IF(OR(A155="Insumo",A155="Composição Auxiliar"),J155,"")</f>
        <v>0.5</v>
      </c>
      <c r="N155" s="102" t="str">
        <f aca="false">IF(ISNUMBER(SEARCH("COM ENCARGOS COMPLEMENTARES",D155)),J155,"")</f>
        <v/>
      </c>
      <c r="O155" s="102" t="n">
        <f aca="false">IF(N155&lt;&gt;"","",M155)</f>
        <v>0.5</v>
      </c>
      <c r="P155" s="103" t="str">
        <f aca="false">IF(A155="Composição",A154,"")</f>
        <v/>
      </c>
      <c r="Q155" s="102" t="str">
        <f aca="false">IF(P155&lt;&gt;"",SUMIF(L155:L239,L155,N155:N239),"")</f>
        <v/>
      </c>
      <c r="R155" s="102" t="str">
        <f aca="false">IF(P155&lt;&gt;"",SUMIF(L155:L239,L155,O155:O239),"")</f>
        <v/>
      </c>
    </row>
    <row r="156" customFormat="false" ht="14" hidden="false" customHeight="false" outlineLevel="0" collapsed="false">
      <c r="A156" s="143" t="s">
        <v>128</v>
      </c>
      <c r="B156" s="144" t="s">
        <v>220</v>
      </c>
      <c r="C156" s="143" t="str">
        <f aca="false">VLOOKUP(B156,INSUMOS!$A:$I,2,0)</f>
        <v>ORSE</v>
      </c>
      <c r="D156" s="143" t="str">
        <f aca="false">VLOOKUP(B156,INSUMOS!$A:$I,3,0)</f>
        <v>Arruela lisa em aço inox 1/4"</v>
      </c>
      <c r="E156" s="143" t="str">
        <f aca="false">VLOOKUP(B156,INSUMOS!$A:$I,4,0)</f>
        <v>Material</v>
      </c>
      <c r="F156" s="143"/>
      <c r="G156" s="145" t="str">
        <f aca="false">VLOOKUP(B156,INSUMOS!$A:$I,5,0)</f>
        <v>un</v>
      </c>
      <c r="H156" s="146" t="n">
        <v>4</v>
      </c>
      <c r="I156" s="147" t="n">
        <f aca="false">VLOOKUP(B156,INSUMOS!$A:$I,8,0)</f>
        <v>0.31</v>
      </c>
      <c r="J156" s="147" t="n">
        <f aca="false">TRUNC(H156*I156,2)</f>
        <v>1.24</v>
      </c>
      <c r="L156" s="68" t="n">
        <f aca="false">IF(AND(A157&lt;&gt;"",A156=""),L155+1,L155)</f>
        <v>14</v>
      </c>
      <c r="M156" s="101" t="n">
        <f aca="false">IF(OR(A156="Insumo",A156="Composição Auxiliar"),J156,"")</f>
        <v>1.24</v>
      </c>
      <c r="N156" s="102" t="str">
        <f aca="false">IF(ISNUMBER(SEARCH("COM ENCARGOS COMPLEMENTARES",D156)),J156,"")</f>
        <v/>
      </c>
      <c r="O156" s="102" t="n">
        <f aca="false">IF(N156&lt;&gt;"","",M156)</f>
        <v>1.24</v>
      </c>
      <c r="P156" s="103" t="str">
        <f aca="false">IF(A156="Composição",A155,"")</f>
        <v/>
      </c>
      <c r="Q156" s="102" t="str">
        <f aca="false">IF(P156&lt;&gt;"",SUMIF(L156:L239,L156,N156:N239),"")</f>
        <v/>
      </c>
      <c r="R156" s="102" t="str">
        <f aca="false">IF(P156&lt;&gt;"",SUMIF(L156:L239,L156,O156:O239),"")</f>
        <v/>
      </c>
    </row>
    <row r="157" customFormat="false" ht="14.25" hidden="false" customHeight="true" outlineLevel="0" collapsed="false">
      <c r="A157" s="143" t="s">
        <v>128</v>
      </c>
      <c r="B157" s="144" t="s">
        <v>221</v>
      </c>
      <c r="C157" s="143" t="str">
        <f aca="false">VLOOKUP(B157,INSUMOS!$A:$I,2,0)</f>
        <v>ORSE</v>
      </c>
      <c r="D157" s="143" t="str">
        <f aca="false">VLOOKUP(B157,INSUMOS!$A:$I,3,0)</f>
        <v>Porca em aço inox sextavada 1/4"</v>
      </c>
      <c r="E157" s="143" t="str">
        <f aca="false">VLOOKUP(B157,INSUMOS!$A:$I,4,0)</f>
        <v>Material</v>
      </c>
      <c r="F157" s="143"/>
      <c r="G157" s="145" t="str">
        <f aca="false">VLOOKUP(B157,INSUMOS!$A:$I,5,0)</f>
        <v>un</v>
      </c>
      <c r="H157" s="146" t="n">
        <v>2</v>
      </c>
      <c r="I157" s="147" t="n">
        <f aca="false">VLOOKUP(B157,INSUMOS!$A:$I,8,0)</f>
        <v>0.23</v>
      </c>
      <c r="J157" s="147" t="n">
        <f aca="false">TRUNC(H157*I157,2)</f>
        <v>0.46</v>
      </c>
      <c r="L157" s="68" t="n">
        <f aca="false">IF(AND(A158&lt;&gt;"",A157=""),L156+1,L156)</f>
        <v>14</v>
      </c>
      <c r="M157" s="101" t="n">
        <f aca="false">IF(OR(A157="Insumo",A157="Composição Auxiliar"),J157,"")</f>
        <v>0.46</v>
      </c>
      <c r="N157" s="102" t="str">
        <f aca="false">IF(ISNUMBER(SEARCH("COM ENCARGOS COMPLEMENTARES",D157)),J157,"")</f>
        <v/>
      </c>
      <c r="O157" s="102" t="n">
        <f aca="false">IF(N157&lt;&gt;"","",M157)</f>
        <v>0.46</v>
      </c>
      <c r="P157" s="103" t="str">
        <f aca="false">IF(A157="Composição",A156,"")</f>
        <v/>
      </c>
      <c r="Q157" s="102" t="str">
        <f aca="false">IF(P157&lt;&gt;"",SUMIF(L157:L239,L157,N157:N239),"")</f>
        <v/>
      </c>
      <c r="R157" s="102" t="str">
        <f aca="false">IF(P157&lt;&gt;"",SUMIF(L157:L239,L157,O157:O239),"")</f>
        <v/>
      </c>
    </row>
    <row r="158" customFormat="false" ht="14.15" hidden="false" customHeight="true" outlineLevel="0" collapsed="false">
      <c r="A158" s="143" t="s">
        <v>128</v>
      </c>
      <c r="B158" s="144" t="s">
        <v>222</v>
      </c>
      <c r="C158" s="143" t="str">
        <f aca="false">VLOOKUP(B158,INSUMOS!$A:$I,2,0)</f>
        <v>SINAPI</v>
      </c>
      <c r="D158" s="143" t="str">
        <f aca="false">VLOOKUP(B158,INSUMOS!$A:$I,3,0)</f>
        <v>CABO DE COBRE, FLEXIVEL, CLASSE 4 OU 5, ISOLACAO EM PVC/A, ANTICHAMA BWF-B, 1 CONDUTOR, 450/750 V, SECAO NOMINAL 6 MM2</v>
      </c>
      <c r="E158" s="143" t="str">
        <f aca="false">VLOOKUP(B158,INSUMOS!$A:$I,4,0)</f>
        <v>Material</v>
      </c>
      <c r="F158" s="143"/>
      <c r="G158" s="145" t="str">
        <f aca="false">VLOOKUP(B158,INSUMOS!$A:$I,5,0)</f>
        <v>M</v>
      </c>
      <c r="H158" s="146" t="n">
        <v>1.2</v>
      </c>
      <c r="I158" s="147" t="n">
        <f aca="false">VLOOKUP(B158,INSUMOS!$A:$I,8,0)</f>
        <v>5.2</v>
      </c>
      <c r="J158" s="147" t="n">
        <f aca="false">TRUNC(H158*I158,2)</f>
        <v>6.24</v>
      </c>
      <c r="L158" s="68" t="n">
        <f aca="false">IF(AND(A159&lt;&gt;"",A158=""),L157+1,L157)</f>
        <v>14</v>
      </c>
      <c r="M158" s="101" t="n">
        <f aca="false">IF(OR(A158="Insumo",A158="Composição Auxiliar"),J158,"")</f>
        <v>6.24</v>
      </c>
      <c r="N158" s="102" t="str">
        <f aca="false">IF(ISNUMBER(SEARCH("COM ENCARGOS COMPLEMENTARES",D158)),J158,"")</f>
        <v/>
      </c>
      <c r="O158" s="102" t="n">
        <f aca="false">IF(N158&lt;&gt;"","",M158)</f>
        <v>6.24</v>
      </c>
      <c r="P158" s="103" t="str">
        <f aca="false">IF(A158="Composição",A157,"")</f>
        <v/>
      </c>
      <c r="Q158" s="102" t="str">
        <f aca="false">IF(P158&lt;&gt;"",SUMIF(L158:L239,L158,N158:N239),"")</f>
        <v/>
      </c>
      <c r="R158" s="102" t="str">
        <f aca="false">IF(P158&lt;&gt;"",SUMIF(L158:L239,L158,O158:O239),"")</f>
        <v/>
      </c>
    </row>
    <row r="159" customFormat="false" ht="25" hidden="false" customHeight="false" outlineLevel="0" collapsed="false">
      <c r="A159" s="143" t="s">
        <v>128</v>
      </c>
      <c r="B159" s="144" t="s">
        <v>223</v>
      </c>
      <c r="C159" s="143" t="str">
        <f aca="false">VLOOKUP(B159,INSUMOS!$A:$I,2,0)</f>
        <v>SINAPI</v>
      </c>
      <c r="D159" s="143" t="str">
        <f aca="false">VLOOKUP(B159,INSUMOS!$A:$I,3,0)</f>
        <v>TERMINAL A COMPRESSAO EM COBRE ESTANHADO PARA CABO 6 MM2, 1 FURO E 1 COMPRESSAO, PARA PARAFUSO DE FIXACAO M6</v>
      </c>
      <c r="E159" s="143" t="str">
        <f aca="false">VLOOKUP(B159,INSUMOS!$A:$I,4,0)</f>
        <v>Material</v>
      </c>
      <c r="F159" s="143"/>
      <c r="G159" s="145" t="str">
        <f aca="false">VLOOKUP(B159,INSUMOS!$A:$I,5,0)</f>
        <v>UN</v>
      </c>
      <c r="H159" s="146" t="n">
        <v>2</v>
      </c>
      <c r="I159" s="147" t="n">
        <f aca="false">VLOOKUP(B159,INSUMOS!$A:$I,8,0)</f>
        <v>1.53</v>
      </c>
      <c r="J159" s="147" t="n">
        <f aca="false">TRUNC(H159*I159,2)</f>
        <v>3.06</v>
      </c>
      <c r="L159" s="68" t="n">
        <f aca="false">IF(AND(A160&lt;&gt;"",A159=""),L158+1,L158)</f>
        <v>14</v>
      </c>
      <c r="M159" s="101" t="n">
        <f aca="false">IF(OR(A159="Insumo",A159="Composição Auxiliar"),J159,"")</f>
        <v>3.06</v>
      </c>
      <c r="N159" s="102" t="str">
        <f aca="false">IF(ISNUMBER(SEARCH("COM ENCARGOS COMPLEMENTARES",D159)),J159,"")</f>
        <v/>
      </c>
      <c r="O159" s="102" t="n">
        <f aca="false">IF(N159&lt;&gt;"","",M159)</f>
        <v>3.06</v>
      </c>
      <c r="P159" s="103" t="str">
        <f aca="false">IF(A159="Composição",A158,"")</f>
        <v/>
      </c>
      <c r="Q159" s="102" t="str">
        <f aca="false">IF(P159&lt;&gt;"",SUMIF(L159:L239,L159,N159:N239),"")</f>
        <v/>
      </c>
      <c r="R159" s="102" t="str">
        <f aca="false">IF(P159&lt;&gt;"",SUMIF(L159:L239,L159,O159:O239),"")</f>
        <v/>
      </c>
    </row>
    <row r="160" customFormat="false" ht="25.5" hidden="false" customHeight="true" outlineLevel="0" collapsed="false">
      <c r="A160" s="149"/>
      <c r="B160" s="149"/>
      <c r="C160" s="149"/>
      <c r="D160" s="149"/>
      <c r="E160" s="149"/>
      <c r="F160" s="150"/>
      <c r="G160" s="149"/>
      <c r="H160" s="150"/>
      <c r="I160" s="149"/>
      <c r="J160" s="150"/>
      <c r="L160" s="68" t="n">
        <f aca="false">IF(AND(A161&lt;&gt;"",A160=""),L159+1,L159)</f>
        <v>14</v>
      </c>
      <c r="M160" s="101" t="str">
        <f aca="false">IF(OR(A160="Insumo",A160="Composição Auxiliar"),J160,"")</f>
        <v/>
      </c>
      <c r="N160" s="102" t="str">
        <f aca="false">IF(ISNUMBER(SEARCH("COM ENCARGOS COMPLEMENTARES",D160)),J160,"")</f>
        <v/>
      </c>
      <c r="O160" s="102" t="str">
        <f aca="false">IF(N160&lt;&gt;"","",M160)</f>
        <v/>
      </c>
      <c r="P160" s="103" t="str">
        <f aca="false">IF(A160="Composição",A159,"")</f>
        <v/>
      </c>
      <c r="Q160" s="102" t="str">
        <f aca="false">IF(P160&lt;&gt;"",SUMIF(L160:L239,L160,N160:N239),"")</f>
        <v/>
      </c>
      <c r="R160" s="102" t="str">
        <f aca="false">IF(P160&lt;&gt;"",SUMIF(L160:L239,L160,O160:O239),"")</f>
        <v/>
      </c>
    </row>
    <row r="161" customFormat="false" ht="25.5" hidden="false" customHeight="true" outlineLevel="0" collapsed="false">
      <c r="A161" s="149"/>
      <c r="B161" s="149"/>
      <c r="C161" s="149"/>
      <c r="D161" s="149"/>
      <c r="E161" s="149"/>
      <c r="F161" s="150"/>
      <c r="G161" s="149"/>
      <c r="H161" s="151" t="s">
        <v>135</v>
      </c>
      <c r="I161" s="151"/>
      <c r="J161" s="150" t="n">
        <f aca="false">TRUNC(SUMIF(L:L,$L161,M:M)*(1+$J$9),2)</f>
        <v>20.19</v>
      </c>
      <c r="L161" s="68" t="n">
        <f aca="false">IF(AND(A162&lt;&gt;"",A161=""),L160+1,L160)</f>
        <v>14</v>
      </c>
      <c r="M161" s="101" t="str">
        <f aca="false">IF(OR(A161="Insumo",A161="Composição Auxiliar"),J161,"")</f>
        <v/>
      </c>
      <c r="N161" s="102" t="str">
        <f aca="false">IF(ISNUMBER(SEARCH("COM ENCARGOS COMPLEMENTARES",D161)),J161,"")</f>
        <v/>
      </c>
      <c r="O161" s="102" t="str">
        <f aca="false">IF(N161&lt;&gt;"","",M161)</f>
        <v/>
      </c>
      <c r="P161" s="103" t="str">
        <f aca="false">IF(A161="Composição",A160,"")</f>
        <v/>
      </c>
      <c r="Q161" s="102" t="str">
        <f aca="false">IF(P161&lt;&gt;"",SUMIF(L161:L239,L161,N161:N239),"")</f>
        <v/>
      </c>
      <c r="R161" s="102" t="str">
        <f aca="false">IF(P161&lt;&gt;"",SUMIF(L161:L239,L161,O161:O239),"")</f>
        <v/>
      </c>
    </row>
    <row r="162" customFormat="false" ht="25" hidden="false" customHeight="true" outlineLevel="0" collapsed="false">
      <c r="A162" s="152"/>
      <c r="B162" s="152"/>
      <c r="C162" s="152"/>
      <c r="D162" s="152"/>
      <c r="E162" s="152"/>
      <c r="F162" s="152"/>
      <c r="G162" s="152" t="s">
        <v>140</v>
      </c>
      <c r="H162" s="153" t="n">
        <v>103</v>
      </c>
      <c r="I162" s="152" t="s">
        <v>141</v>
      </c>
      <c r="J162" s="154" t="n">
        <f aca="false">TRUNC(J161*H162,2)</f>
        <v>2079.57</v>
      </c>
      <c r="L162" s="68" t="n">
        <f aca="false">IF(AND(A163&lt;&gt;"",A162=""),L161+1,L161)</f>
        <v>14</v>
      </c>
      <c r="M162" s="101" t="str">
        <f aca="false">IF(OR(A162="Insumo",A162="Composição Auxiliar"),J162,"")</f>
        <v/>
      </c>
      <c r="N162" s="102" t="str">
        <f aca="false">IF(ISNUMBER(SEARCH("COM ENCARGOS COMPLEMENTARES",D162)),J162,"")</f>
        <v/>
      </c>
      <c r="O162" s="102" t="str">
        <f aca="false">IF(N162&lt;&gt;"","",M162)</f>
        <v/>
      </c>
      <c r="P162" s="103" t="str">
        <f aca="false">IF(A162="Composição",A161,"")</f>
        <v/>
      </c>
      <c r="Q162" s="102" t="str">
        <f aca="false">IF(P162&lt;&gt;"",SUMIF(L162:L239,L162,N162:N239),"")</f>
        <v/>
      </c>
      <c r="R162" s="102" t="str">
        <f aca="false">IF(P162&lt;&gt;"",SUMIF(L162:L239,L162,O162:O239),"")</f>
        <v/>
      </c>
    </row>
    <row r="163" customFormat="false" ht="14.5" hidden="false" customHeight="false" outlineLevel="0" collapsed="false">
      <c r="A163" s="155"/>
      <c r="B163" s="155"/>
      <c r="C163" s="155"/>
      <c r="D163" s="155"/>
      <c r="E163" s="155"/>
      <c r="F163" s="155"/>
      <c r="G163" s="155"/>
      <c r="H163" s="155"/>
      <c r="I163" s="155"/>
      <c r="J163" s="155"/>
      <c r="L163" s="68" t="n">
        <f aca="false">IF(AND(A164&lt;&gt;"",A163=""),L162+1,L162)</f>
        <v>15</v>
      </c>
      <c r="M163" s="101" t="str">
        <f aca="false">IF(OR(A163="Insumo",A163="Composição Auxiliar"),J163,"")</f>
        <v/>
      </c>
      <c r="N163" s="102" t="str">
        <f aca="false">IF(ISNUMBER(SEARCH("COM ENCARGOS COMPLEMENTARES",D163)),J163,"")</f>
        <v/>
      </c>
      <c r="O163" s="102" t="str">
        <f aca="false">IF(N163&lt;&gt;"","",M163)</f>
        <v/>
      </c>
      <c r="P163" s="103" t="str">
        <f aca="false">IF(A163="Composição",A162,"")</f>
        <v/>
      </c>
      <c r="Q163" s="102" t="str">
        <f aca="false">IF(P163&lt;&gt;"",SUMIF(L163:L239,L163,N163:N239),"")</f>
        <v/>
      </c>
      <c r="R163" s="102" t="str">
        <f aca="false">IF(P163&lt;&gt;"",SUMIF(L163:L239,L163,O163:O239),"")</f>
        <v/>
      </c>
    </row>
    <row r="164" customFormat="false" ht="14" hidden="false" customHeight="true" outlineLevel="0" collapsed="false">
      <c r="A164" s="118" t="s">
        <v>73</v>
      </c>
      <c r="B164" s="119" t="s">
        <v>115</v>
      </c>
      <c r="C164" s="118" t="s">
        <v>116</v>
      </c>
      <c r="D164" s="118" t="s">
        <v>117</v>
      </c>
      <c r="E164" s="118" t="s">
        <v>118</v>
      </c>
      <c r="F164" s="118"/>
      <c r="G164" s="120" t="s">
        <v>119</v>
      </c>
      <c r="H164" s="119" t="s">
        <v>120</v>
      </c>
      <c r="I164" s="119" t="s">
        <v>130</v>
      </c>
      <c r="J164" s="119" t="s">
        <v>131</v>
      </c>
      <c r="L164" s="68" t="n">
        <f aca="false">IF(AND(A165&lt;&gt;"",A164=""),L163+1,L163)</f>
        <v>15</v>
      </c>
      <c r="M164" s="101" t="str">
        <f aca="false">IF(OR(A164="Insumo",A164="Composição Auxiliar"),J164,"")</f>
        <v/>
      </c>
      <c r="N164" s="102" t="str">
        <f aca="false">IF(ISNUMBER(SEARCH("COM ENCARGOS COMPLEMENTARES",D164)),J164,"")</f>
        <v/>
      </c>
      <c r="O164" s="102" t="str">
        <f aca="false">IF(N164&lt;&gt;"","",M164)</f>
        <v/>
      </c>
      <c r="P164" s="103" t="str">
        <f aca="false">IF(A164="Composição",A163,"")</f>
        <v/>
      </c>
      <c r="Q164" s="102" t="str">
        <f aca="false">IF(P164&lt;&gt;"",SUMIF(L164:L239,L164,N164:N239),"")</f>
        <v/>
      </c>
      <c r="R164" s="102" t="str">
        <f aca="false">IF(P164&lt;&gt;"",SUMIF(L164:L239,L164,O164:O239),"")</f>
        <v/>
      </c>
    </row>
    <row r="165" customFormat="false" ht="25.5" hidden="false" customHeight="true" outlineLevel="0" collapsed="false">
      <c r="A165" s="122" t="s">
        <v>121</v>
      </c>
      <c r="B165" s="55" t="s">
        <v>74</v>
      </c>
      <c r="C165" s="122" t="s">
        <v>153</v>
      </c>
      <c r="D165" s="122" t="s">
        <v>224</v>
      </c>
      <c r="E165" s="122" t="s">
        <v>170</v>
      </c>
      <c r="F165" s="122"/>
      <c r="G165" s="123" t="s">
        <v>214</v>
      </c>
      <c r="H165" s="124" t="n">
        <v>1</v>
      </c>
      <c r="I165" s="125" t="n">
        <f aca="false">SUMIF(L:L,$L165,M:M)</f>
        <v>20.75</v>
      </c>
      <c r="J165" s="125" t="n">
        <f aca="false">TRUNC(H165*I165,2)</f>
        <v>20.75</v>
      </c>
      <c r="L165" s="68" t="n">
        <f aca="false">IF(AND(A166&lt;&gt;"",A165=""),L164+1,L164)</f>
        <v>15</v>
      </c>
      <c r="M165" s="101" t="str">
        <f aca="false">IF(OR(A165="Insumo",A165="Composição Auxiliar"),J165,"")</f>
        <v/>
      </c>
      <c r="N165" s="102" t="str">
        <f aca="false">IF(ISNUMBER(SEARCH("COM ENCARGOS COMPLEMENTARES",D165)),J165,"")</f>
        <v/>
      </c>
      <c r="O165" s="102" t="str">
        <f aca="false">IF(N165&lt;&gt;"","",M165)</f>
        <v/>
      </c>
      <c r="P165" s="103" t="str">
        <f aca="false">IF(A165="Composição",A164,"")</f>
        <v> 2.4.2 </v>
      </c>
      <c r="Q165" s="102" t="n">
        <f aca="false">IF(P165&lt;&gt;"",SUMIF(L165:L239,L165,N165:N239),"")</f>
        <v>4.39</v>
      </c>
      <c r="R165" s="102" t="n">
        <f aca="false">IF(P165&lt;&gt;"",SUMIF(L165:L239,L165,O165:O239),"")</f>
        <v>16.36</v>
      </c>
    </row>
    <row r="166" customFormat="false" ht="14.15" hidden="false" customHeight="true" outlineLevel="0" collapsed="false">
      <c r="A166" s="129" t="s">
        <v>126</v>
      </c>
      <c r="B166" s="130" t="s">
        <v>181</v>
      </c>
      <c r="C166" s="129" t="s">
        <v>122</v>
      </c>
      <c r="D166" s="129" t="s">
        <v>182</v>
      </c>
      <c r="E166" s="129" t="s">
        <v>124</v>
      </c>
      <c r="F166" s="129"/>
      <c r="G166" s="131" t="s">
        <v>125</v>
      </c>
      <c r="H166" s="132" t="n">
        <v>0.0957</v>
      </c>
      <c r="I166" s="133" t="n">
        <f aca="false">SUMIFS('ANALÍTICA AUXILIARES'!J:J,'ANALÍTICA AUXILIARES'!A:A,"Composição",'ANALÍTICA AUXILIARES'!B:B,$B166)</f>
        <v>26.75</v>
      </c>
      <c r="J166" s="133" t="n">
        <f aca="false">TRUNC(H166*I166,2)</f>
        <v>2.55</v>
      </c>
      <c r="L166" s="68" t="n">
        <f aca="false">IF(AND(A167&lt;&gt;"",A166=""),L165+1,L165)</f>
        <v>15</v>
      </c>
      <c r="M166" s="101" t="n">
        <f aca="false">IF(OR(A166="Insumo",A166="Composição Auxiliar"),J166,"")</f>
        <v>2.55</v>
      </c>
      <c r="N166" s="102" t="n">
        <f aca="false">IF(ISNUMBER(SEARCH("COM ENCARGOS COMPLEMENTARES",D166)),J166,"")</f>
        <v>2.55</v>
      </c>
      <c r="O166" s="102" t="str">
        <f aca="false">IF(N166&lt;&gt;"","",M166)</f>
        <v/>
      </c>
      <c r="P166" s="103" t="str">
        <f aca="false">IF(A166="Composição",A165,"")</f>
        <v/>
      </c>
      <c r="Q166" s="102" t="str">
        <f aca="false">IF(P166&lt;&gt;"",SUMIF(L166:L239,L166,N166:N239),"")</f>
        <v/>
      </c>
      <c r="R166" s="102" t="str">
        <f aca="false">IF(P166&lt;&gt;"",SUMIF(L166:L239,L166,O166:O239),"")</f>
        <v/>
      </c>
    </row>
    <row r="167" customFormat="false" ht="25" hidden="false" customHeight="true" outlineLevel="0" collapsed="false">
      <c r="A167" s="129" t="s">
        <v>126</v>
      </c>
      <c r="B167" s="130" t="s">
        <v>179</v>
      </c>
      <c r="C167" s="129" t="s">
        <v>122</v>
      </c>
      <c r="D167" s="129" t="s">
        <v>180</v>
      </c>
      <c r="E167" s="129" t="s">
        <v>124</v>
      </c>
      <c r="F167" s="129"/>
      <c r="G167" s="131" t="s">
        <v>125</v>
      </c>
      <c r="H167" s="132" t="n">
        <v>0.0957</v>
      </c>
      <c r="I167" s="133" t="n">
        <f aca="false">SUMIFS('ANALÍTICA AUXILIARES'!J:J,'ANALÍTICA AUXILIARES'!A:A,"Composição",'ANALÍTICA AUXILIARES'!B:B,$B167)</f>
        <v>19.33</v>
      </c>
      <c r="J167" s="133" t="n">
        <f aca="false">TRUNC(H167*I167,2)</f>
        <v>1.84</v>
      </c>
      <c r="L167" s="68" t="n">
        <f aca="false">IF(AND(A168&lt;&gt;"",A167=""),L166+1,L166)</f>
        <v>15</v>
      </c>
      <c r="M167" s="101" t="n">
        <f aca="false">IF(OR(A167="Insumo",A167="Composição Auxiliar"),J167,"")</f>
        <v>1.84</v>
      </c>
      <c r="N167" s="102" t="n">
        <f aca="false">IF(ISNUMBER(SEARCH("COM ENCARGOS COMPLEMENTARES",D167)),J167,"")</f>
        <v>1.84</v>
      </c>
      <c r="O167" s="102" t="str">
        <f aca="false">IF(N167&lt;&gt;"","",M167)</f>
        <v/>
      </c>
      <c r="P167" s="103" t="str">
        <f aca="false">IF(A167="Composição",A166,"")</f>
        <v/>
      </c>
      <c r="Q167" s="102" t="str">
        <f aca="false">IF(P167&lt;&gt;"",SUMIF(L167:L239,L167,N167:N239),"")</f>
        <v/>
      </c>
      <c r="R167" s="102" t="str">
        <f aca="false">IF(P167&lt;&gt;"",SUMIF(L167:L239,L167,O167:O239),"")</f>
        <v/>
      </c>
    </row>
    <row r="168" customFormat="false" ht="14.25" hidden="false" customHeight="true" outlineLevel="0" collapsed="false">
      <c r="A168" s="143" t="s">
        <v>128</v>
      </c>
      <c r="B168" s="144" t="s">
        <v>225</v>
      </c>
      <c r="C168" s="143" t="str">
        <f aca="false">VLOOKUP(B168,INSUMOS!$A:$I,2,0)</f>
        <v>SINAPI</v>
      </c>
      <c r="D168" s="143" t="str">
        <f aca="false">VLOOKUP(B168,INSUMOS!$A:$I,3,0)</f>
        <v>CABO DE COBRE NU 16 MM2 MEIO-DURO</v>
      </c>
      <c r="E168" s="143" t="str">
        <f aca="false">VLOOKUP(B168,INSUMOS!$A:$I,4,0)</f>
        <v>Material</v>
      </c>
      <c r="F168" s="143"/>
      <c r="G168" s="145" t="str">
        <f aca="false">VLOOKUP(B168,INSUMOS!$A:$I,5,0)</f>
        <v>M</v>
      </c>
      <c r="H168" s="146" t="n">
        <v>1.05</v>
      </c>
      <c r="I168" s="147" t="n">
        <f aca="false">VLOOKUP(B168,INSUMOS!$A:$I,8,0)</f>
        <v>15.59</v>
      </c>
      <c r="J168" s="147" t="n">
        <f aca="false">TRUNC(H168*I168,2)</f>
        <v>16.36</v>
      </c>
      <c r="L168" s="68" t="n">
        <f aca="false">IF(AND(A169&lt;&gt;"",A168=""),L167+1,L167)</f>
        <v>15</v>
      </c>
      <c r="M168" s="101" t="n">
        <f aca="false">IF(OR(A168="Insumo",A168="Composição Auxiliar"),J168,"")</f>
        <v>16.36</v>
      </c>
      <c r="N168" s="102" t="str">
        <f aca="false">IF(ISNUMBER(SEARCH("COM ENCARGOS COMPLEMENTARES",D168)),J168,"")</f>
        <v/>
      </c>
      <c r="O168" s="102" t="n">
        <f aca="false">IF(N168&lt;&gt;"","",M168)</f>
        <v>16.36</v>
      </c>
      <c r="P168" s="103" t="str">
        <f aca="false">IF(A168="Composição",A167,"")</f>
        <v/>
      </c>
      <c r="Q168" s="102" t="str">
        <f aca="false">IF(P168&lt;&gt;"",SUMIF(L168:L239,L168,N168:N239),"")</f>
        <v/>
      </c>
      <c r="R168" s="102" t="str">
        <f aca="false">IF(P168&lt;&gt;"",SUMIF(L168:L239,L168,O168:O239),"")</f>
        <v/>
      </c>
    </row>
    <row r="169" customFormat="false" ht="14" hidden="false" customHeight="false" outlineLevel="0" collapsed="false">
      <c r="A169" s="149"/>
      <c r="B169" s="149"/>
      <c r="C169" s="149"/>
      <c r="D169" s="149"/>
      <c r="E169" s="149"/>
      <c r="F169" s="150"/>
      <c r="G169" s="149"/>
      <c r="H169" s="150"/>
      <c r="I169" s="149"/>
      <c r="J169" s="150"/>
      <c r="L169" s="68" t="n">
        <f aca="false">IF(AND(A170&lt;&gt;"",A169=""),L168+1,L168)</f>
        <v>15</v>
      </c>
      <c r="M169" s="101" t="str">
        <f aca="false">IF(OR(A169="Insumo",A169="Composição Auxiliar"),J169,"")</f>
        <v/>
      </c>
      <c r="N169" s="102" t="str">
        <f aca="false">IF(ISNUMBER(SEARCH("COM ENCARGOS COMPLEMENTARES",D169)),J169,"")</f>
        <v/>
      </c>
      <c r="O169" s="102" t="str">
        <f aca="false">IF(N169&lt;&gt;"","",M169)</f>
        <v/>
      </c>
      <c r="P169" s="103" t="str">
        <f aca="false">IF(A169="Composição",A168,"")</f>
        <v/>
      </c>
      <c r="Q169" s="102" t="str">
        <f aca="false">IF(P169&lt;&gt;"",SUMIF(L169:L239,L169,N169:N239),"")</f>
        <v/>
      </c>
      <c r="R169" s="102" t="str">
        <f aca="false">IF(P169&lt;&gt;"",SUMIF(L169:L239,L169,O169:O239),"")</f>
        <v/>
      </c>
    </row>
    <row r="170" customFormat="false" ht="14.25" hidden="false" customHeight="true" outlineLevel="0" collapsed="false">
      <c r="A170" s="149"/>
      <c r="B170" s="149"/>
      <c r="C170" s="149"/>
      <c r="D170" s="149"/>
      <c r="E170" s="149"/>
      <c r="F170" s="150"/>
      <c r="G170" s="149"/>
      <c r="H170" s="151" t="s">
        <v>135</v>
      </c>
      <c r="I170" s="151"/>
      <c r="J170" s="150" t="n">
        <f aca="false">TRUNC(SUMIF(L:L,$L170,M:M)*(1+$J$9),2)</f>
        <v>25.36</v>
      </c>
      <c r="L170" s="68" t="n">
        <f aca="false">IF(AND(A171&lt;&gt;"",A170=""),L169+1,L169)</f>
        <v>15</v>
      </c>
      <c r="M170" s="101" t="str">
        <f aca="false">IF(OR(A170="Insumo",A170="Composição Auxiliar"),J170,"")</f>
        <v/>
      </c>
      <c r="N170" s="102" t="str">
        <f aca="false">IF(ISNUMBER(SEARCH("COM ENCARGOS COMPLEMENTARES",D170)),J170,"")</f>
        <v/>
      </c>
      <c r="O170" s="102" t="str">
        <f aca="false">IF(N170&lt;&gt;"","",M170)</f>
        <v/>
      </c>
      <c r="P170" s="103" t="str">
        <f aca="false">IF(A170="Composição",A169,"")</f>
        <v/>
      </c>
      <c r="Q170" s="102" t="str">
        <f aca="false">IF(P170&lt;&gt;"",SUMIF(L170:L239,L170,N170:N239),"")</f>
        <v/>
      </c>
      <c r="R170" s="102" t="str">
        <f aca="false">IF(P170&lt;&gt;"",SUMIF(L170:L239,L170,O170:O239),"")</f>
        <v/>
      </c>
    </row>
    <row r="171" customFormat="false" ht="25.5" hidden="false" customHeight="true" outlineLevel="0" collapsed="false">
      <c r="A171" s="152"/>
      <c r="B171" s="152"/>
      <c r="C171" s="152"/>
      <c r="D171" s="152"/>
      <c r="E171" s="152"/>
      <c r="F171" s="152"/>
      <c r="G171" s="152" t="s">
        <v>140</v>
      </c>
      <c r="H171" s="153" t="n">
        <v>35</v>
      </c>
      <c r="I171" s="152" t="s">
        <v>141</v>
      </c>
      <c r="J171" s="154" t="n">
        <f aca="false">TRUNC(J170*H171,2)</f>
        <v>887.6</v>
      </c>
      <c r="L171" s="68" t="n">
        <f aca="false">IF(AND(A172&lt;&gt;"",A171=""),L170+1,L170)</f>
        <v>15</v>
      </c>
      <c r="M171" s="101" t="str">
        <f aca="false">IF(OR(A171="Insumo",A171="Composição Auxiliar"),J171,"")</f>
        <v/>
      </c>
      <c r="N171" s="102" t="str">
        <f aca="false">IF(ISNUMBER(SEARCH("COM ENCARGOS COMPLEMENTARES",D171)),J171,"")</f>
        <v/>
      </c>
      <c r="O171" s="102" t="str">
        <f aca="false">IF(N171&lt;&gt;"","",M171)</f>
        <v/>
      </c>
      <c r="P171" s="103" t="str">
        <f aca="false">IF(A171="Composição",A170,"")</f>
        <v/>
      </c>
      <c r="Q171" s="102" t="str">
        <f aca="false">IF(P171&lt;&gt;"",SUMIF(L171:L239,L171,N171:N239),"")</f>
        <v/>
      </c>
      <c r="R171" s="102" t="str">
        <f aca="false">IF(P171&lt;&gt;"",SUMIF(L171:L239,L171,O171:O239),"")</f>
        <v/>
      </c>
    </row>
    <row r="172" customFormat="false" ht="25.5" hidden="false" customHeight="true" outlineLevel="0" collapsed="false">
      <c r="A172" s="155"/>
      <c r="B172" s="155"/>
      <c r="C172" s="155"/>
      <c r="D172" s="155"/>
      <c r="E172" s="155"/>
      <c r="F172" s="155"/>
      <c r="G172" s="155"/>
      <c r="H172" s="155"/>
      <c r="I172" s="155"/>
      <c r="J172" s="155"/>
      <c r="L172" s="68" t="n">
        <f aca="false">IF(AND(A173&lt;&gt;"",A172=""),L171+1,L171)</f>
        <v>16</v>
      </c>
      <c r="M172" s="101" t="str">
        <f aca="false">IF(OR(A172="Insumo",A172="Composição Auxiliar"),J172,"")</f>
        <v/>
      </c>
      <c r="N172" s="102" t="str">
        <f aca="false">IF(ISNUMBER(SEARCH("COM ENCARGOS COMPLEMENTARES",D172)),J172,"")</f>
        <v/>
      </c>
      <c r="O172" s="102" t="str">
        <f aca="false">IF(N172&lt;&gt;"","",M172)</f>
        <v/>
      </c>
      <c r="P172" s="103" t="str">
        <f aca="false">IF(A172="Composição",A171,"")</f>
        <v/>
      </c>
      <c r="Q172" s="102" t="str">
        <f aca="false">IF(P172&lt;&gt;"",SUMIF(L172:L239,L172,N172:N239),"")</f>
        <v/>
      </c>
      <c r="R172" s="102" t="str">
        <f aca="false">IF(P172&lt;&gt;"",SUMIF(L172:L239,L172,O172:O239),"")</f>
        <v/>
      </c>
    </row>
    <row r="173" customFormat="false" ht="25" hidden="false" customHeight="true" outlineLevel="0" collapsed="false">
      <c r="A173" s="97" t="s">
        <v>75</v>
      </c>
      <c r="B173" s="97"/>
      <c r="C173" s="97"/>
      <c r="D173" s="97" t="s">
        <v>76</v>
      </c>
      <c r="E173" s="97"/>
      <c r="F173" s="97"/>
      <c r="G173" s="97"/>
      <c r="H173" s="98"/>
      <c r="I173" s="97"/>
      <c r="J173" s="99"/>
      <c r="L173" s="68" t="n">
        <f aca="false">IF(AND(A174&lt;&gt;"",A173=""),L172+1,L172)</f>
        <v>16</v>
      </c>
      <c r="M173" s="101" t="str">
        <f aca="false">IF(OR(A173="Insumo",A173="Composição Auxiliar"),J173,"")</f>
        <v/>
      </c>
      <c r="N173" s="102" t="str">
        <f aca="false">IF(ISNUMBER(SEARCH("COM ENCARGOS COMPLEMENTARES",D173)),J173,"")</f>
        <v/>
      </c>
      <c r="O173" s="102" t="str">
        <f aca="false">IF(N173&lt;&gt;"","",M173)</f>
        <v/>
      </c>
      <c r="P173" s="103" t="str">
        <f aca="false">IF(A173="Composição",A172,"")</f>
        <v/>
      </c>
      <c r="Q173" s="102" t="str">
        <f aca="false">IF(P173&lt;&gt;"",SUMIF(L173:L239,L173,N173:N239),"")</f>
        <v/>
      </c>
      <c r="R173" s="102" t="str">
        <f aca="false">IF(P173&lt;&gt;"",SUMIF(L173:L239,L173,O173:O239),"")</f>
        <v/>
      </c>
    </row>
    <row r="174" customFormat="false" ht="25" hidden="false" customHeight="true" outlineLevel="0" collapsed="false">
      <c r="A174" s="118" t="s">
        <v>77</v>
      </c>
      <c r="B174" s="119" t="s">
        <v>115</v>
      </c>
      <c r="C174" s="118" t="s">
        <v>116</v>
      </c>
      <c r="D174" s="118" t="s">
        <v>117</v>
      </c>
      <c r="E174" s="118" t="s">
        <v>118</v>
      </c>
      <c r="F174" s="118"/>
      <c r="G174" s="120" t="s">
        <v>119</v>
      </c>
      <c r="H174" s="119" t="s">
        <v>120</v>
      </c>
      <c r="I174" s="119" t="s">
        <v>130</v>
      </c>
      <c r="J174" s="119" t="s">
        <v>131</v>
      </c>
      <c r="L174" s="68" t="n">
        <f aca="false">IF(AND(A175&lt;&gt;"",A174=""),L173+1,L173)</f>
        <v>16</v>
      </c>
      <c r="M174" s="101" t="str">
        <f aca="false">IF(OR(A174="Insumo",A174="Composição Auxiliar"),J174,"")</f>
        <v/>
      </c>
      <c r="N174" s="102" t="str">
        <f aca="false">IF(ISNUMBER(SEARCH("COM ENCARGOS COMPLEMENTARES",D174)),J174,"")</f>
        <v/>
      </c>
      <c r="O174" s="102" t="str">
        <f aca="false">IF(N174&lt;&gt;"","",M174)</f>
        <v/>
      </c>
      <c r="P174" s="103" t="str">
        <f aca="false">IF(A174="Composição",A173,"")</f>
        <v/>
      </c>
      <c r="Q174" s="102" t="str">
        <f aca="false">IF(P174&lt;&gt;"",SUMIF(L174:L239,L174,N174:N239),"")</f>
        <v/>
      </c>
      <c r="R174" s="102" t="str">
        <f aca="false">IF(P174&lt;&gt;"",SUMIF(L174:L239,L174,O174:O239),"")</f>
        <v/>
      </c>
    </row>
    <row r="175" customFormat="false" ht="25" hidden="false" customHeight="true" outlineLevel="0" collapsed="false">
      <c r="A175" s="122" t="s">
        <v>121</v>
      </c>
      <c r="B175" s="55" t="s">
        <v>78</v>
      </c>
      <c r="C175" s="122" t="s">
        <v>153</v>
      </c>
      <c r="D175" s="122" t="s">
        <v>226</v>
      </c>
      <c r="E175" s="122" t="s">
        <v>170</v>
      </c>
      <c r="F175" s="122"/>
      <c r="G175" s="123" t="s">
        <v>155</v>
      </c>
      <c r="H175" s="124" t="n">
        <v>1</v>
      </c>
      <c r="I175" s="125" t="n">
        <f aca="false">SUMIF(L:L,$L175,M:M)</f>
        <v>2184.03</v>
      </c>
      <c r="J175" s="125" t="n">
        <f aca="false">TRUNC(H175*I175,2)</f>
        <v>2184.03</v>
      </c>
      <c r="L175" s="68" t="n">
        <f aca="false">IF(AND(A176&lt;&gt;"",A175=""),L174+1,L174)</f>
        <v>16</v>
      </c>
      <c r="M175" s="101" t="str">
        <f aca="false">IF(OR(A175="Insumo",A175="Composição Auxiliar"),J175,"")</f>
        <v/>
      </c>
      <c r="N175" s="102" t="str">
        <f aca="false">IF(ISNUMBER(SEARCH("COM ENCARGOS COMPLEMENTARES",D175)),J175,"")</f>
        <v/>
      </c>
      <c r="O175" s="102" t="str">
        <f aca="false">IF(N175&lt;&gt;"","",M175)</f>
        <v/>
      </c>
      <c r="P175" s="103" t="str">
        <f aca="false">IF(A175="Composição",A174,"")</f>
        <v> 2.5.1 </v>
      </c>
      <c r="Q175" s="102" t="n">
        <f aca="false">IF(P175&lt;&gt;"",SUMIF(L175:L239,L175,N175:N239),"")</f>
        <v>492.64</v>
      </c>
      <c r="R175" s="102" t="n">
        <f aca="false">IF(P175&lt;&gt;"",SUMIF(L175:L239,L175,O175:O239),"")</f>
        <v>1691.39</v>
      </c>
    </row>
    <row r="176" customFormat="false" ht="14.25" hidden="false" customHeight="true" outlineLevel="0" collapsed="false">
      <c r="A176" s="129" t="s">
        <v>126</v>
      </c>
      <c r="B176" s="130" t="s">
        <v>227</v>
      </c>
      <c r="C176" s="129" t="s">
        <v>122</v>
      </c>
      <c r="D176" s="129" t="s">
        <v>228</v>
      </c>
      <c r="E176" s="129" t="s">
        <v>124</v>
      </c>
      <c r="F176" s="129"/>
      <c r="G176" s="131" t="s">
        <v>125</v>
      </c>
      <c r="H176" s="132" t="n">
        <v>16</v>
      </c>
      <c r="I176" s="133" t="n">
        <f aca="false">SUMIFS('ANALÍTICA AUXILIARES'!J:J,'ANALÍTICA AUXILIARES'!A:A,"Composição",'ANALÍTICA AUXILIARES'!B:B,$B176)</f>
        <v>30.79</v>
      </c>
      <c r="J176" s="133" t="n">
        <f aca="false">TRUNC(H176*I176,2)</f>
        <v>492.64</v>
      </c>
      <c r="L176" s="68" t="n">
        <f aca="false">IF(AND(A177&lt;&gt;"",A176=""),L175+1,L175)</f>
        <v>16</v>
      </c>
      <c r="M176" s="101" t="n">
        <f aca="false">IF(OR(A176="Insumo",A176="Composição Auxiliar"),J176,"")</f>
        <v>492.64</v>
      </c>
      <c r="N176" s="102" t="n">
        <f aca="false">IF(ISNUMBER(SEARCH("COM ENCARGOS COMPLEMENTARES",D176)),J176,"")</f>
        <v>492.64</v>
      </c>
      <c r="O176" s="102" t="str">
        <f aca="false">IF(N176&lt;&gt;"","",M176)</f>
        <v/>
      </c>
      <c r="P176" s="103" t="str">
        <f aca="false">IF(A176="Composição",A175,"")</f>
        <v/>
      </c>
      <c r="Q176" s="102" t="str">
        <f aca="false">IF(P176&lt;&gt;"",SUMIF(L176:L239,L176,N176:N239),"")</f>
        <v/>
      </c>
      <c r="R176" s="102" t="str">
        <f aca="false">IF(P176&lt;&gt;"",SUMIF(L176:L239,L176,O176:O239),"")</f>
        <v/>
      </c>
    </row>
    <row r="177" customFormat="false" ht="37.5" hidden="false" customHeight="false" outlineLevel="0" collapsed="false">
      <c r="A177" s="143" t="s">
        <v>128</v>
      </c>
      <c r="B177" s="144" t="s">
        <v>229</v>
      </c>
      <c r="C177" s="143" t="str">
        <f aca="false">VLOOKUP(B177,INSUMOS!$A:$I,2,0)</f>
        <v>SINAPI</v>
      </c>
      <c r="D177" s="143" t="str">
        <f aca="false">VLOOKUP(B177,INSUMOS!$A:$I,3,0)</f>
        <v>QUADRO DE DISTRIBUICAO COM BARRAMENTO TRIFASICO, DE EMBUTIR, EM CHAPA DE ACO GALVANIZADO, PARA 30 DISJUNTORES DIN, 150 A</v>
      </c>
      <c r="E177" s="143" t="str">
        <f aca="false">VLOOKUP(B177,INSUMOS!$A:$I,4,0)</f>
        <v>Material</v>
      </c>
      <c r="F177" s="143"/>
      <c r="G177" s="145" t="str">
        <f aca="false">VLOOKUP(B177,INSUMOS!$A:$I,5,0)</f>
        <v>UN</v>
      </c>
      <c r="H177" s="146" t="n">
        <v>1</v>
      </c>
      <c r="I177" s="147" t="n">
        <f aca="false">VLOOKUP(B177,INSUMOS!$A:$I,8,0)</f>
        <v>787.53</v>
      </c>
      <c r="J177" s="147" t="n">
        <f aca="false">TRUNC(H177*I177,2)</f>
        <v>787.53</v>
      </c>
      <c r="L177" s="68" t="n">
        <f aca="false">IF(AND(A178&lt;&gt;"",A177=""),L176+1,L176)</f>
        <v>16</v>
      </c>
      <c r="M177" s="101" t="n">
        <f aca="false">IF(OR(A177="Insumo",A177="Composição Auxiliar"),J177,"")</f>
        <v>787.53</v>
      </c>
      <c r="N177" s="102" t="str">
        <f aca="false">IF(ISNUMBER(SEARCH("COM ENCARGOS COMPLEMENTARES",D177)),J177,"")</f>
        <v/>
      </c>
      <c r="O177" s="102" t="n">
        <f aca="false">IF(N177&lt;&gt;"","",M177)</f>
        <v>787.53</v>
      </c>
      <c r="P177" s="103" t="str">
        <f aca="false">IF(A177="Composição",A176,"")</f>
        <v/>
      </c>
      <c r="Q177" s="102" t="str">
        <f aca="false">IF(P177&lt;&gt;"",SUMIF(L177:L239,L177,N177:N239),"")</f>
        <v/>
      </c>
      <c r="R177" s="102" t="str">
        <f aca="false">IF(P177&lt;&gt;"",SUMIF(L177:L239,L177,O177:O239),"")</f>
        <v/>
      </c>
    </row>
    <row r="178" customFormat="false" ht="25" hidden="false" customHeight="true" outlineLevel="0" collapsed="false">
      <c r="A178" s="143" t="s">
        <v>128</v>
      </c>
      <c r="B178" s="144" t="s">
        <v>230</v>
      </c>
      <c r="C178" s="143" t="str">
        <f aca="false">VLOOKUP(B178,INSUMOS!$A:$I,2,0)</f>
        <v>SINAPI</v>
      </c>
      <c r="D178" s="143" t="str">
        <f aca="false">VLOOKUP(B178,INSUMOS!$A:$I,3,0)</f>
        <v>DISJUNTOR TIPO DIN/IEC, MONOPOLAR DE 6  ATE  32A</v>
      </c>
      <c r="E178" s="143" t="str">
        <f aca="false">VLOOKUP(B178,INSUMOS!$A:$I,4,0)</f>
        <v>Material</v>
      </c>
      <c r="F178" s="143"/>
      <c r="G178" s="145" t="str">
        <f aca="false">VLOOKUP(B178,INSUMOS!$A:$I,5,0)</f>
        <v>UN</v>
      </c>
      <c r="H178" s="146" t="n">
        <v>4</v>
      </c>
      <c r="I178" s="147" t="n">
        <f aca="false">VLOOKUP(B178,INSUMOS!$A:$I,8,0)</f>
        <v>8.07</v>
      </c>
      <c r="J178" s="147" t="n">
        <f aca="false">TRUNC(H178*I178,2)</f>
        <v>32.28</v>
      </c>
      <c r="L178" s="68" t="n">
        <f aca="false">IF(AND(A179&lt;&gt;"",A178=""),L177+1,L177)</f>
        <v>16</v>
      </c>
      <c r="M178" s="101" t="n">
        <f aca="false">IF(OR(A178="Insumo",A178="Composição Auxiliar"),J178,"")</f>
        <v>32.28</v>
      </c>
      <c r="N178" s="102" t="str">
        <f aca="false">IF(ISNUMBER(SEARCH("COM ENCARGOS COMPLEMENTARES",D178)),J178,"")</f>
        <v/>
      </c>
      <c r="O178" s="102" t="n">
        <f aca="false">IF(N178&lt;&gt;"","",M178)</f>
        <v>32.28</v>
      </c>
      <c r="P178" s="103" t="str">
        <f aca="false">IF(A178="Composição",A177,"")</f>
        <v/>
      </c>
      <c r="Q178" s="102" t="str">
        <f aca="false">IF(P178&lt;&gt;"",SUMIF(L178:L239,L178,N178:N239),"")</f>
        <v/>
      </c>
      <c r="R178" s="102" t="str">
        <f aca="false">IF(P178&lt;&gt;"",SUMIF(L178:L239,L178,O178:O239),"")</f>
        <v/>
      </c>
    </row>
    <row r="179" customFormat="false" ht="25" hidden="false" customHeight="false" outlineLevel="0" collapsed="false">
      <c r="A179" s="143" t="s">
        <v>128</v>
      </c>
      <c r="B179" s="144" t="s">
        <v>231</v>
      </c>
      <c r="C179" s="143" t="str">
        <f aca="false">VLOOKUP(B179,INSUMOS!$A:$I,2,0)</f>
        <v>SINAPI</v>
      </c>
      <c r="D179" s="143" t="str">
        <f aca="false">VLOOKUP(B179,INSUMOS!$A:$I,3,0)</f>
        <v>DISPOSITIVO DPS CLASSE II, 1 POLO, TENSAO MAXIMA DE 275 V, CORRENTE MAXIMA DE *45* KA (TIPO AC)</v>
      </c>
      <c r="E179" s="143" t="str">
        <f aca="false">VLOOKUP(B179,INSUMOS!$A:$I,4,0)</f>
        <v>Material</v>
      </c>
      <c r="F179" s="143"/>
      <c r="G179" s="145" t="str">
        <f aca="false">VLOOKUP(B179,INSUMOS!$A:$I,5,0)</f>
        <v>UN</v>
      </c>
      <c r="H179" s="146" t="n">
        <v>4</v>
      </c>
      <c r="I179" s="147" t="n">
        <f aca="false">VLOOKUP(B179,INSUMOS!$A:$I,8,0)</f>
        <v>92.88</v>
      </c>
      <c r="J179" s="147" t="n">
        <f aca="false">TRUNC(H179*I179,2)</f>
        <v>371.52</v>
      </c>
      <c r="L179" s="68" t="n">
        <f aca="false">IF(AND(A180&lt;&gt;"",A179=""),L178+1,L178)</f>
        <v>16</v>
      </c>
      <c r="M179" s="101" t="n">
        <f aca="false">IF(OR(A179="Insumo",A179="Composição Auxiliar"),J179,"")</f>
        <v>371.52</v>
      </c>
      <c r="N179" s="102" t="str">
        <f aca="false">IF(ISNUMBER(SEARCH("COM ENCARGOS COMPLEMENTARES",D179)),J179,"")</f>
        <v/>
      </c>
      <c r="O179" s="102" t="n">
        <f aca="false">IF(N179&lt;&gt;"","",M179)</f>
        <v>371.52</v>
      </c>
      <c r="P179" s="103" t="str">
        <f aca="false">IF(A179="Composição",A178,"")</f>
        <v/>
      </c>
      <c r="Q179" s="102" t="str">
        <f aca="false">IF(P179&lt;&gt;"",SUMIF(L179:L239,L179,N179:N239),"")</f>
        <v/>
      </c>
      <c r="R179" s="102" t="str">
        <f aca="false">IF(P179&lt;&gt;"",SUMIF(L179:L239,L179,O179:O239),"")</f>
        <v/>
      </c>
    </row>
    <row r="180" customFormat="false" ht="25.5" hidden="false" customHeight="true" outlineLevel="0" collapsed="false">
      <c r="A180" s="143" t="s">
        <v>128</v>
      </c>
      <c r="B180" s="144" t="s">
        <v>232</v>
      </c>
      <c r="C180" s="143" t="str">
        <f aca="false">VLOOKUP(B180,INSUMOS!$A:$I,2,0)</f>
        <v>SINAPI</v>
      </c>
      <c r="D180" s="143" t="str">
        <f aca="false">VLOOKUP(B180,INSUMOS!$A:$I,3,0)</f>
        <v>TERMINAL A COMPRESSAO EM COBRE ESTANHADO PARA CABO 10 MM2, 1 FURO E 1 COMPRESSAO, PARA PARAFUSO DE FIXACAO M6</v>
      </c>
      <c r="E180" s="143" t="str">
        <f aca="false">VLOOKUP(B180,INSUMOS!$A:$I,4,0)</f>
        <v>Material</v>
      </c>
      <c r="F180" s="143"/>
      <c r="G180" s="145" t="str">
        <f aca="false">VLOOKUP(B180,INSUMOS!$A:$I,5,0)</f>
        <v>UN</v>
      </c>
      <c r="H180" s="146" t="n">
        <v>20</v>
      </c>
      <c r="I180" s="147" t="n">
        <f aca="false">VLOOKUP(B180,INSUMOS!$A:$I,8,0)</f>
        <v>1.65</v>
      </c>
      <c r="J180" s="147" t="n">
        <f aca="false">TRUNC(H180*I180,2)</f>
        <v>33</v>
      </c>
      <c r="L180" s="68" t="n">
        <f aca="false">IF(AND(A181&lt;&gt;"",A180=""),L179+1,L179)</f>
        <v>16</v>
      </c>
      <c r="M180" s="101" t="n">
        <f aca="false">IF(OR(A180="Insumo",A180="Composição Auxiliar"),J180,"")</f>
        <v>33</v>
      </c>
      <c r="N180" s="102" t="str">
        <f aca="false">IF(ISNUMBER(SEARCH("COM ENCARGOS COMPLEMENTARES",D180)),J180,"")</f>
        <v/>
      </c>
      <c r="O180" s="102" t="n">
        <f aca="false">IF(N180&lt;&gt;"","",M180)</f>
        <v>33</v>
      </c>
      <c r="P180" s="103" t="str">
        <f aca="false">IF(A180="Composição",A179,"")</f>
        <v/>
      </c>
      <c r="Q180" s="102" t="str">
        <f aca="false">IF(P180&lt;&gt;"",SUMIF(L180:L239,L180,N180:N239),"")</f>
        <v/>
      </c>
      <c r="R180" s="102" t="str">
        <f aca="false">IF(P180&lt;&gt;"",SUMIF(L180:L239,L180,O180:O239),"")</f>
        <v/>
      </c>
    </row>
    <row r="181" customFormat="false" ht="25" hidden="false" customHeight="true" outlineLevel="0" collapsed="false">
      <c r="A181" s="143" t="s">
        <v>128</v>
      </c>
      <c r="B181" s="144" t="s">
        <v>233</v>
      </c>
      <c r="C181" s="143" t="str">
        <f aca="false">VLOOKUP(B181,INSUMOS!$A:$I,2,0)</f>
        <v>SINAPI</v>
      </c>
      <c r="D181" s="143" t="str">
        <f aca="false">VLOOKUP(B181,INSUMOS!$A:$I,3,0)</f>
        <v>TERMINAL A COMPRESSAO EM COBRE ESTANHADO PARA CABO 16 MM2, 1 FURO E 1 COMPRESSAO, PARA PARAFUSO DE FIXACAO M6</v>
      </c>
      <c r="E181" s="143" t="str">
        <f aca="false">VLOOKUP(B181,INSUMOS!$A:$I,4,0)</f>
        <v>Material</v>
      </c>
      <c r="F181" s="143"/>
      <c r="G181" s="145" t="str">
        <f aca="false">VLOOKUP(B181,INSUMOS!$A:$I,5,0)</f>
        <v>UN</v>
      </c>
      <c r="H181" s="146" t="n">
        <v>1</v>
      </c>
      <c r="I181" s="147" t="n">
        <f aca="false">VLOOKUP(B181,INSUMOS!$A:$I,8,0)</f>
        <v>1.96</v>
      </c>
      <c r="J181" s="147" t="n">
        <f aca="false">TRUNC(H181*I181,2)</f>
        <v>1.96</v>
      </c>
      <c r="L181" s="68" t="n">
        <f aca="false">IF(AND(A182&lt;&gt;"",A181=""),L180+1,L180)</f>
        <v>16</v>
      </c>
      <c r="M181" s="101" t="n">
        <f aca="false">IF(OR(A181="Insumo",A181="Composição Auxiliar"),J181,"")</f>
        <v>1.96</v>
      </c>
      <c r="N181" s="102" t="str">
        <f aca="false">IF(ISNUMBER(SEARCH("COM ENCARGOS COMPLEMENTARES",D181)),J181,"")</f>
        <v/>
      </c>
      <c r="O181" s="102" t="n">
        <f aca="false">IF(N181&lt;&gt;"","",M181)</f>
        <v>1.96</v>
      </c>
      <c r="P181" s="103" t="str">
        <f aca="false">IF(A181="Composição",A180,"")</f>
        <v/>
      </c>
      <c r="Q181" s="102" t="str">
        <f aca="false">IF(P181&lt;&gt;"",SUMIF(L181:L239,L181,N181:N239),"")</f>
        <v/>
      </c>
      <c r="R181" s="102" t="str">
        <f aca="false">IF(P181&lt;&gt;"",SUMIF(L181:L239,L181,O181:O239),"")</f>
        <v/>
      </c>
    </row>
    <row r="182" customFormat="false" ht="37.5" hidden="false" customHeight="false" outlineLevel="0" collapsed="false">
      <c r="A182" s="143" t="s">
        <v>128</v>
      </c>
      <c r="B182" s="144" t="s">
        <v>234</v>
      </c>
      <c r="C182" s="143" t="str">
        <f aca="false">VLOOKUP(B182,INSUMOS!$A:$I,2,0)</f>
        <v>Próprio</v>
      </c>
      <c r="D182" s="143" t="str">
        <f aca="false">VLOOKUP(B182,INSUMOS!$A:$I,3,0)</f>
        <v>DISJUNTOR TERMICO E MAGNETICO FIXO, TRIPOLAR DE 50A, CAPACIDADE DE INTERRUPCAO DE 16KA. Ref.: DWB160B50-3DX da WEG ou equivalente técnico</v>
      </c>
      <c r="E182" s="143" t="str">
        <f aca="false">VLOOKUP(B182,INSUMOS!$A:$I,4,0)</f>
        <v>Material</v>
      </c>
      <c r="F182" s="143"/>
      <c r="G182" s="145" t="str">
        <f aca="false">VLOOKUP(B182,INSUMOS!$A:$I,5,0)</f>
        <v>UN</v>
      </c>
      <c r="H182" s="146" t="n">
        <v>1</v>
      </c>
      <c r="I182" s="147" t="n">
        <f aca="false">VLOOKUP(B182,INSUMOS!$A:$I,8,0)</f>
        <v>465.1</v>
      </c>
      <c r="J182" s="147" t="n">
        <f aca="false">TRUNC(H182*I182,2)</f>
        <v>465.1</v>
      </c>
      <c r="L182" s="68" t="n">
        <f aca="false">IF(AND(A183&lt;&gt;"",A182=""),L181+1,L181)</f>
        <v>16</v>
      </c>
      <c r="M182" s="101" t="n">
        <f aca="false">IF(OR(A182="Insumo",A182="Composição Auxiliar"),J182,"")</f>
        <v>465.1</v>
      </c>
      <c r="N182" s="102" t="str">
        <f aca="false">IF(ISNUMBER(SEARCH("COM ENCARGOS COMPLEMENTARES",D182)),J182,"")</f>
        <v/>
      </c>
      <c r="O182" s="102" t="n">
        <f aca="false">IF(N182&lt;&gt;"","",M182)</f>
        <v>465.1</v>
      </c>
      <c r="P182" s="103" t="str">
        <f aca="false">IF(A182="Composição",A181,"")</f>
        <v/>
      </c>
      <c r="Q182" s="102" t="str">
        <f aca="false">IF(P182&lt;&gt;"",SUMIF(L182:L239,L182,N182:N239),"")</f>
        <v/>
      </c>
      <c r="R182" s="102" t="str">
        <f aca="false">IF(P182&lt;&gt;"",SUMIF(L182:L239,L182,O182:O239),"")</f>
        <v/>
      </c>
    </row>
    <row r="183" customFormat="false" ht="14" hidden="false" customHeight="false" outlineLevel="0" collapsed="false">
      <c r="A183" s="149"/>
      <c r="B183" s="149"/>
      <c r="C183" s="149"/>
      <c r="D183" s="149"/>
      <c r="E183" s="149"/>
      <c r="F183" s="150"/>
      <c r="G183" s="149"/>
      <c r="H183" s="150"/>
      <c r="I183" s="149"/>
      <c r="J183" s="150"/>
      <c r="L183" s="68" t="n">
        <f aca="false">IF(AND(A184&lt;&gt;"",A183=""),L182+1,L182)</f>
        <v>16</v>
      </c>
      <c r="M183" s="101" t="str">
        <f aca="false">IF(OR(A183="Insumo",A183="Composição Auxiliar"),J183,"")</f>
        <v/>
      </c>
      <c r="N183" s="102" t="str">
        <f aca="false">IF(ISNUMBER(SEARCH("COM ENCARGOS COMPLEMENTARES",D183)),J183,"")</f>
        <v/>
      </c>
      <c r="O183" s="102" t="str">
        <f aca="false">IF(N183&lt;&gt;"","",M183)</f>
        <v/>
      </c>
      <c r="P183" s="103" t="str">
        <f aca="false">IF(A183="Composição",A182,"")</f>
        <v/>
      </c>
      <c r="Q183" s="102" t="str">
        <f aca="false">IF(P183&lt;&gt;"",SUMIF(L183:L239,L183,N183:N239),"")</f>
        <v/>
      </c>
      <c r="R183" s="102" t="str">
        <f aca="false">IF(P183&lt;&gt;"",SUMIF(L183:L239,L183,O183:O239),"")</f>
        <v/>
      </c>
    </row>
    <row r="184" customFormat="false" ht="14.25" hidden="false" customHeight="true" outlineLevel="0" collapsed="false">
      <c r="A184" s="149"/>
      <c r="B184" s="149"/>
      <c r="C184" s="149"/>
      <c r="D184" s="149"/>
      <c r="E184" s="149"/>
      <c r="F184" s="150"/>
      <c r="G184" s="149"/>
      <c r="H184" s="151" t="s">
        <v>135</v>
      </c>
      <c r="I184" s="151"/>
      <c r="J184" s="150" t="n">
        <f aca="false">TRUNC(SUMIF(L:L,$L184,M:M)*(1+$J$9),2)</f>
        <v>2669.32</v>
      </c>
      <c r="L184" s="68" t="n">
        <f aca="false">IF(AND(A185&lt;&gt;"",A184=""),L183+1,L183)</f>
        <v>16</v>
      </c>
      <c r="M184" s="101" t="str">
        <f aca="false">IF(OR(A184="Insumo",A184="Composição Auxiliar"),J184,"")</f>
        <v/>
      </c>
      <c r="N184" s="102" t="str">
        <f aca="false">IF(ISNUMBER(SEARCH("COM ENCARGOS COMPLEMENTARES",D184)),J184,"")</f>
        <v/>
      </c>
      <c r="O184" s="102" t="str">
        <f aca="false">IF(N184&lt;&gt;"","",M184)</f>
        <v/>
      </c>
      <c r="P184" s="103" t="str">
        <f aca="false">IF(A184="Composição",A183,"")</f>
        <v/>
      </c>
      <c r="Q184" s="102" t="str">
        <f aca="false">IF(P184&lt;&gt;"",SUMIF(L184:L239,L184,N184:N239),"")</f>
        <v/>
      </c>
      <c r="R184" s="102" t="str">
        <f aca="false">IF(P184&lt;&gt;"",SUMIF(L184:L239,L184,O184:O239),"")</f>
        <v/>
      </c>
    </row>
    <row r="185" customFormat="false" ht="14.25" hidden="false" customHeight="true" outlineLevel="0" collapsed="false">
      <c r="A185" s="152"/>
      <c r="B185" s="152"/>
      <c r="C185" s="152"/>
      <c r="D185" s="152"/>
      <c r="E185" s="152"/>
      <c r="F185" s="152"/>
      <c r="G185" s="152" t="s">
        <v>140</v>
      </c>
      <c r="H185" s="153" t="n">
        <v>2</v>
      </c>
      <c r="I185" s="152" t="s">
        <v>141</v>
      </c>
      <c r="J185" s="154" t="n">
        <f aca="false">TRUNC(J184*H185,2)</f>
        <v>5338.64</v>
      </c>
      <c r="L185" s="68" t="n">
        <f aca="false">IF(AND(A186&lt;&gt;"",A185=""),L184+1,L184)</f>
        <v>16</v>
      </c>
      <c r="M185" s="101" t="str">
        <f aca="false">IF(OR(A185="Insumo",A185="Composição Auxiliar"),J185,"")</f>
        <v/>
      </c>
      <c r="N185" s="102" t="str">
        <f aca="false">IF(ISNUMBER(SEARCH("COM ENCARGOS COMPLEMENTARES",D185)),J185,"")</f>
        <v/>
      </c>
      <c r="O185" s="102" t="str">
        <f aca="false">IF(N185&lt;&gt;"","",M185)</f>
        <v/>
      </c>
      <c r="P185" s="103" t="str">
        <f aca="false">IF(A185="Composição",A184,"")</f>
        <v/>
      </c>
      <c r="Q185" s="102" t="str">
        <f aca="false">IF(P185&lt;&gt;"",SUMIF(L185:L239,L185,N185:N239),"")</f>
        <v/>
      </c>
      <c r="R185" s="102" t="str">
        <f aca="false">IF(P185&lt;&gt;"",SUMIF(L185:L239,L185,O185:O239),"")</f>
        <v/>
      </c>
    </row>
    <row r="186" customFormat="false" ht="14.5" hidden="false" customHeight="false" outlineLevel="0" collapsed="false">
      <c r="A186" s="155"/>
      <c r="B186" s="155"/>
      <c r="C186" s="155"/>
      <c r="D186" s="155"/>
      <c r="E186" s="155"/>
      <c r="F186" s="155"/>
      <c r="G186" s="155"/>
      <c r="H186" s="155"/>
      <c r="I186" s="155"/>
      <c r="J186" s="155"/>
      <c r="L186" s="68" t="n">
        <f aca="false">IF(AND(A187&lt;&gt;"",A186=""),L185+1,L185)</f>
        <v>17</v>
      </c>
      <c r="M186" s="101" t="str">
        <f aca="false">IF(OR(A186="Insumo",A186="Composição Auxiliar"),J186,"")</f>
        <v/>
      </c>
      <c r="N186" s="102" t="str">
        <f aca="false">IF(ISNUMBER(SEARCH("COM ENCARGOS COMPLEMENTARES",D186)),J186,"")</f>
        <v/>
      </c>
      <c r="O186" s="102" t="str">
        <f aca="false">IF(N186&lt;&gt;"","",M186)</f>
        <v/>
      </c>
      <c r="P186" s="103" t="str">
        <f aca="false">IF(A186="Composição",A185,"")</f>
        <v/>
      </c>
      <c r="Q186" s="102" t="str">
        <f aca="false">IF(P186&lt;&gt;"",SUMIF(L186:L239,L186,N186:N239),"")</f>
        <v/>
      </c>
      <c r="R186" s="102" t="str">
        <f aca="false">IF(P186&lt;&gt;"",SUMIF(L186:L239,L186,O186:O239),"")</f>
        <v/>
      </c>
    </row>
    <row r="187" customFormat="false" ht="14" hidden="false" customHeight="true" outlineLevel="0" collapsed="false">
      <c r="A187" s="118" t="s">
        <v>79</v>
      </c>
      <c r="B187" s="119" t="s">
        <v>115</v>
      </c>
      <c r="C187" s="118" t="s">
        <v>116</v>
      </c>
      <c r="D187" s="118" t="s">
        <v>117</v>
      </c>
      <c r="E187" s="118" t="s">
        <v>118</v>
      </c>
      <c r="F187" s="118"/>
      <c r="G187" s="120" t="s">
        <v>119</v>
      </c>
      <c r="H187" s="119" t="s">
        <v>120</v>
      </c>
      <c r="I187" s="119" t="s">
        <v>130</v>
      </c>
      <c r="J187" s="119" t="s">
        <v>131</v>
      </c>
      <c r="L187" s="68" t="n">
        <f aca="false">IF(AND(A188&lt;&gt;"",A187=""),L186+1,L186)</f>
        <v>17</v>
      </c>
      <c r="M187" s="101" t="str">
        <f aca="false">IF(OR(A187="Insumo",A187="Composição Auxiliar"),J187,"")</f>
        <v/>
      </c>
      <c r="N187" s="102" t="str">
        <f aca="false">IF(ISNUMBER(SEARCH("COM ENCARGOS COMPLEMENTARES",D187)),J187,"")</f>
        <v/>
      </c>
      <c r="O187" s="102" t="str">
        <f aca="false">IF(N187&lt;&gt;"","",M187)</f>
        <v/>
      </c>
      <c r="P187" s="103" t="str">
        <f aca="false">IF(A187="Composição",A186,"")</f>
        <v/>
      </c>
      <c r="Q187" s="102" t="str">
        <f aca="false">IF(P187&lt;&gt;"",SUMIF(L187:L239,L187,N187:N239),"")</f>
        <v/>
      </c>
      <c r="R187" s="102" t="str">
        <f aca="false">IF(P187&lt;&gt;"",SUMIF(L187:L239,L187,O187:O239),"")</f>
        <v/>
      </c>
    </row>
    <row r="188" customFormat="false" ht="25.5" hidden="false" customHeight="true" outlineLevel="0" collapsed="false">
      <c r="A188" s="122" t="s">
        <v>121</v>
      </c>
      <c r="B188" s="55" t="s">
        <v>80</v>
      </c>
      <c r="C188" s="122" t="s">
        <v>153</v>
      </c>
      <c r="D188" s="122" t="s">
        <v>235</v>
      </c>
      <c r="E188" s="122" t="s">
        <v>170</v>
      </c>
      <c r="F188" s="122"/>
      <c r="G188" s="123" t="s">
        <v>214</v>
      </c>
      <c r="H188" s="124" t="n">
        <v>1</v>
      </c>
      <c r="I188" s="125" t="n">
        <f aca="false">SUMIF(L:L,$L188,M:M)</f>
        <v>101.04</v>
      </c>
      <c r="J188" s="125" t="n">
        <f aca="false">TRUNC(H188*I188,2)</f>
        <v>101.04</v>
      </c>
      <c r="L188" s="68" t="n">
        <f aca="false">IF(AND(A189&lt;&gt;"",A188=""),L187+1,L187)</f>
        <v>17</v>
      </c>
      <c r="M188" s="101" t="str">
        <f aca="false">IF(OR(A188="Insumo",A188="Composição Auxiliar"),J188,"")</f>
        <v/>
      </c>
      <c r="N188" s="102" t="str">
        <f aca="false">IF(ISNUMBER(SEARCH("COM ENCARGOS COMPLEMENTARES",D188)),J188,"")</f>
        <v/>
      </c>
      <c r="O188" s="102" t="str">
        <f aca="false">IF(N188&lt;&gt;"","",M188)</f>
        <v/>
      </c>
      <c r="P188" s="103" t="str">
        <f aca="false">IF(A188="Composição",A187,"")</f>
        <v> 2.5.2 </v>
      </c>
      <c r="Q188" s="102" t="n">
        <f aca="false">IF(P188&lt;&gt;"",SUMIF(L188:L239,L188,N188:N239),"")</f>
        <v>49.88</v>
      </c>
      <c r="R188" s="102" t="n">
        <f aca="false">IF(P188&lt;&gt;"",SUMIF(L188:L239,L188,O188:O239),"")</f>
        <v>51.16</v>
      </c>
    </row>
    <row r="189" customFormat="false" ht="25" hidden="false" customHeight="true" outlineLevel="0" collapsed="false">
      <c r="A189" s="129" t="s">
        <v>126</v>
      </c>
      <c r="B189" s="130" t="s">
        <v>179</v>
      </c>
      <c r="C189" s="129" t="s">
        <v>122</v>
      </c>
      <c r="D189" s="129" t="s">
        <v>180</v>
      </c>
      <c r="E189" s="129" t="s">
        <v>124</v>
      </c>
      <c r="F189" s="129"/>
      <c r="G189" s="131" t="s">
        <v>125</v>
      </c>
      <c r="H189" s="132" t="n">
        <v>0.92</v>
      </c>
      <c r="I189" s="133" t="n">
        <f aca="false">SUMIFS('ANALÍTICA AUXILIARES'!J:J,'ANALÍTICA AUXILIARES'!A:A,"Composição",'ANALÍTICA AUXILIARES'!B:B,$B189)</f>
        <v>19.33</v>
      </c>
      <c r="J189" s="133" t="n">
        <f aca="false">TRUNC(H189*I189,2)</f>
        <v>17.78</v>
      </c>
      <c r="L189" s="68" t="n">
        <f aca="false">IF(AND(A190&lt;&gt;"",A189=""),L188+1,L188)</f>
        <v>17</v>
      </c>
      <c r="M189" s="101" t="n">
        <f aca="false">IF(OR(A189="Insumo",A189="Composição Auxiliar"),J189,"")</f>
        <v>17.78</v>
      </c>
      <c r="N189" s="102" t="n">
        <f aca="false">IF(ISNUMBER(SEARCH("COM ENCARGOS COMPLEMENTARES",D189)),J189,"")</f>
        <v>17.78</v>
      </c>
      <c r="O189" s="102" t="str">
        <f aca="false">IF(N189&lt;&gt;"","",M189)</f>
        <v/>
      </c>
      <c r="P189" s="103" t="str">
        <f aca="false">IF(A189="Composição",A188,"")</f>
        <v/>
      </c>
      <c r="Q189" s="102" t="str">
        <f aca="false">IF(P189&lt;&gt;"",SUMIF(L189:L239,L189,N189:N239),"")</f>
        <v/>
      </c>
      <c r="R189" s="102" t="str">
        <f aca="false">IF(P189&lt;&gt;"",SUMIF(L189:L239,L189,O189:O239),"")</f>
        <v/>
      </c>
    </row>
    <row r="190" customFormat="false" ht="25" hidden="false" customHeight="true" outlineLevel="0" collapsed="false">
      <c r="A190" s="129" t="s">
        <v>126</v>
      </c>
      <c r="B190" s="130" t="s">
        <v>181</v>
      </c>
      <c r="C190" s="129" t="s">
        <v>122</v>
      </c>
      <c r="D190" s="129" t="s">
        <v>182</v>
      </c>
      <c r="E190" s="129" t="s">
        <v>124</v>
      </c>
      <c r="F190" s="129"/>
      <c r="G190" s="131" t="s">
        <v>125</v>
      </c>
      <c r="H190" s="132" t="n">
        <v>1.2</v>
      </c>
      <c r="I190" s="133" t="n">
        <f aca="false">SUMIFS('ANALÍTICA AUXILIARES'!J:J,'ANALÍTICA AUXILIARES'!A:A,"Composição",'ANALÍTICA AUXILIARES'!B:B,$B190)</f>
        <v>26.75</v>
      </c>
      <c r="J190" s="133" t="n">
        <f aca="false">TRUNC(H190*I190,2)</f>
        <v>32.1</v>
      </c>
      <c r="L190" s="68" t="n">
        <f aca="false">IF(AND(A191&lt;&gt;"",A190=""),L189+1,L189)</f>
        <v>17</v>
      </c>
      <c r="M190" s="101" t="n">
        <f aca="false">IF(OR(A190="Insumo",A190="Composição Auxiliar"),J190,"")</f>
        <v>32.1</v>
      </c>
      <c r="N190" s="102" t="n">
        <f aca="false">IF(ISNUMBER(SEARCH("COM ENCARGOS COMPLEMENTARES",D190)),J190,"")</f>
        <v>32.1</v>
      </c>
      <c r="O190" s="102" t="str">
        <f aca="false">IF(N190&lt;&gt;"","",M190)</f>
        <v/>
      </c>
      <c r="P190" s="103" t="str">
        <f aca="false">IF(A190="Composição",A189,"")</f>
        <v/>
      </c>
      <c r="Q190" s="102" t="str">
        <f aca="false">IF(P190&lt;&gt;"",SUMIF(L190:L239,L190,N190:N239),"")</f>
        <v/>
      </c>
      <c r="R190" s="102" t="str">
        <f aca="false">IF(P190&lt;&gt;"",SUMIF(L190:L239,L190,O190:O239),"")</f>
        <v/>
      </c>
    </row>
    <row r="191" customFormat="false" ht="25.5" hidden="false" customHeight="true" outlineLevel="0" collapsed="false">
      <c r="A191" s="129" t="s">
        <v>126</v>
      </c>
      <c r="B191" s="130" t="s">
        <v>236</v>
      </c>
      <c r="C191" s="129" t="s">
        <v>122</v>
      </c>
      <c r="D191" s="129" t="s">
        <v>237</v>
      </c>
      <c r="E191" s="129" t="s">
        <v>170</v>
      </c>
      <c r="F191" s="129"/>
      <c r="G191" s="131" t="s">
        <v>195</v>
      </c>
      <c r="H191" s="132" t="n">
        <v>5</v>
      </c>
      <c r="I191" s="133" t="n">
        <f aca="false">SUMIFS('ANALÍTICA AUXILIARES'!J:J,'ANALÍTICA AUXILIARES'!A:A,"Composição",'ANALÍTICA AUXILIARES'!B:B,$B191)</f>
        <v>10.16</v>
      </c>
      <c r="J191" s="133" t="n">
        <f aca="false">TRUNC(H191*I191,2)</f>
        <v>50.8</v>
      </c>
      <c r="L191" s="68" t="n">
        <f aca="false">IF(AND(A192&lt;&gt;"",A191=""),L190+1,L190)</f>
        <v>17</v>
      </c>
      <c r="M191" s="101" t="n">
        <f aca="false">IF(OR(A191="Insumo",A191="Composição Auxiliar"),J191,"")</f>
        <v>50.8</v>
      </c>
      <c r="N191" s="102" t="str">
        <f aca="false">IF(ISNUMBER(SEARCH("COM ENCARGOS COMPLEMENTARES",D191)),J191,"")</f>
        <v/>
      </c>
      <c r="O191" s="102" t="n">
        <f aca="false">IF(N191&lt;&gt;"","",M191)</f>
        <v>50.8</v>
      </c>
      <c r="P191" s="103" t="str">
        <f aca="false">IF(A191="Composição",A190,"")</f>
        <v/>
      </c>
      <c r="Q191" s="102" t="str">
        <f aca="false">IF(P191&lt;&gt;"",SUMIF(L191:L240,L191,N191:N240),"")</f>
        <v/>
      </c>
      <c r="R191" s="102" t="str">
        <f aca="false">IF(P191&lt;&gt;"",SUMIF(L191:L240,L191,O191:O240),"")</f>
        <v/>
      </c>
    </row>
    <row r="192" customFormat="false" ht="14.25" hidden="false" customHeight="true" outlineLevel="0" collapsed="false">
      <c r="A192" s="143" t="s">
        <v>128</v>
      </c>
      <c r="B192" s="144" t="s">
        <v>238</v>
      </c>
      <c r="C192" s="143" t="str">
        <f aca="false">VLOOKUP(B192,INSUMOS!$A:$I,2,0)</f>
        <v>SINAPI</v>
      </c>
      <c r="D192" s="143" t="str">
        <f aca="false">VLOOKUP(B192,INSUMOS!$A:$I,3,0)</f>
        <v>FITA ISOLANTE ADESIVA ANTICHAMA, USO ATE 750 V, EM ROLO DE 19 MM X 5 M</v>
      </c>
      <c r="E192" s="143" t="str">
        <f aca="false">VLOOKUP(B192,INSUMOS!$A:$I,4,0)</f>
        <v>Material</v>
      </c>
      <c r="F192" s="143"/>
      <c r="G192" s="145" t="str">
        <f aca="false">VLOOKUP(B192,INSUMOS!$A:$I,5,0)</f>
        <v>UN</v>
      </c>
      <c r="H192" s="146" t="n">
        <v>0.12</v>
      </c>
      <c r="I192" s="147" t="n">
        <f aca="false">VLOOKUP(B192,INSUMOS!$A:$I,8,0)</f>
        <v>3.02</v>
      </c>
      <c r="J192" s="147" t="n">
        <f aca="false">TRUNC(H192*I192,2)</f>
        <v>0.36</v>
      </c>
      <c r="L192" s="68" t="n">
        <f aca="false">IF(AND(A193&lt;&gt;"",A192=""),L191+1,L191)</f>
        <v>17</v>
      </c>
      <c r="M192" s="101" t="n">
        <f aca="false">IF(OR(A192="Insumo",A192="Composição Auxiliar"),J192,"")</f>
        <v>0.36</v>
      </c>
      <c r="N192" s="102" t="str">
        <f aca="false">IF(ISNUMBER(SEARCH("COM ENCARGOS COMPLEMENTARES",D192)),J192,"")</f>
        <v/>
      </c>
      <c r="O192" s="102" t="n">
        <f aca="false">IF(N192&lt;&gt;"","",M192)</f>
        <v>0.36</v>
      </c>
      <c r="P192" s="103" t="str">
        <f aca="false">IF(A192="Composição",A191,"")</f>
        <v/>
      </c>
      <c r="Q192" s="102" t="str">
        <f aca="false">IF(P192&lt;&gt;"",SUMIF(L192:L240,L192,N192:N240),"")</f>
        <v/>
      </c>
      <c r="R192" s="102" t="str">
        <f aca="false">IF(P192&lt;&gt;"",SUMIF(L192:L240,L192,O192:O240),"")</f>
        <v/>
      </c>
    </row>
    <row r="193" customFormat="false" ht="14.25" hidden="false" customHeight="true" outlineLevel="0" collapsed="false">
      <c r="A193" s="149"/>
      <c r="B193" s="149"/>
      <c r="C193" s="149"/>
      <c r="D193" s="149"/>
      <c r="E193" s="149"/>
      <c r="F193" s="150"/>
      <c r="G193" s="149"/>
      <c r="H193" s="150"/>
      <c r="I193" s="149"/>
      <c r="J193" s="150"/>
      <c r="L193" s="68" t="n">
        <f aca="false">IF(AND(A194&lt;&gt;"",A193=""),L192+1,L192)</f>
        <v>17</v>
      </c>
      <c r="M193" s="101" t="str">
        <f aca="false">IF(OR(A193="Insumo",A193="Composição Auxiliar"),J193,"")</f>
        <v/>
      </c>
      <c r="N193" s="102" t="str">
        <f aca="false">IF(ISNUMBER(SEARCH("COM ENCARGOS COMPLEMENTARES",D193)),J193,"")</f>
        <v/>
      </c>
      <c r="O193" s="102" t="str">
        <f aca="false">IF(N193&lt;&gt;"","",M193)</f>
        <v/>
      </c>
      <c r="P193" s="103" t="str">
        <f aca="false">IF(A193="Composição",A192,"")</f>
        <v/>
      </c>
      <c r="Q193" s="102" t="str">
        <f aca="false">IF(P193&lt;&gt;"",SUMIF(L193:L242,L193,N193:N242),"")</f>
        <v/>
      </c>
      <c r="R193" s="102" t="str">
        <f aca="false">IF(P193&lt;&gt;"",SUMIF(L193:L242,L193,O193:O242),"")</f>
        <v/>
      </c>
    </row>
    <row r="194" customFormat="false" ht="25" hidden="false" customHeight="true" outlineLevel="0" collapsed="false">
      <c r="A194" s="149"/>
      <c r="B194" s="149"/>
      <c r="C194" s="149"/>
      <c r="D194" s="149"/>
      <c r="E194" s="149"/>
      <c r="F194" s="150"/>
      <c r="G194" s="149"/>
      <c r="H194" s="151" t="s">
        <v>135</v>
      </c>
      <c r="I194" s="151"/>
      <c r="J194" s="150" t="n">
        <f aca="false">TRUNC(SUMIF(L:L,$L194,M:M)*(1+$J$9),2)</f>
        <v>123.49</v>
      </c>
      <c r="L194" s="68" t="n">
        <f aca="false">IF(AND(A195&lt;&gt;"",A194=""),L193+1,L193)</f>
        <v>17</v>
      </c>
      <c r="M194" s="101" t="str">
        <f aca="false">IF(OR(A194="Insumo",A194="Composição Auxiliar"),J194,"")</f>
        <v/>
      </c>
      <c r="N194" s="102" t="str">
        <f aca="false">IF(ISNUMBER(SEARCH("COM ENCARGOS COMPLEMENTARES",D194)),J194,"")</f>
        <v/>
      </c>
      <c r="O194" s="102" t="str">
        <f aca="false">IF(N194&lt;&gt;"","",M194)</f>
        <v/>
      </c>
      <c r="P194" s="103" t="str">
        <f aca="false">IF(A194="Composição",A193,"")</f>
        <v/>
      </c>
      <c r="Q194" s="102" t="str">
        <f aca="false">IF(P194&lt;&gt;"",SUMIF(L194:L242,L194,N194:N242),"")</f>
        <v/>
      </c>
      <c r="R194" s="102" t="str">
        <f aca="false">IF(P194&lt;&gt;"",SUMIF(L194:L242,L194,O194:O242),"")</f>
        <v/>
      </c>
    </row>
    <row r="195" customFormat="false" ht="14.5" hidden="false" customHeight="false" outlineLevel="0" collapsed="false">
      <c r="A195" s="152"/>
      <c r="B195" s="152"/>
      <c r="C195" s="152"/>
      <c r="D195" s="152"/>
      <c r="E195" s="152"/>
      <c r="F195" s="152"/>
      <c r="G195" s="152" t="s">
        <v>140</v>
      </c>
      <c r="H195" s="153" t="n">
        <v>3</v>
      </c>
      <c r="I195" s="152" t="s">
        <v>141</v>
      </c>
      <c r="J195" s="154" t="n">
        <f aca="false">TRUNC(J194*H195,2)</f>
        <v>370.47</v>
      </c>
      <c r="L195" s="68" t="n">
        <f aca="false">IF(AND(A196&lt;&gt;"",A195=""),L194+1,L194)</f>
        <v>17</v>
      </c>
      <c r="M195" s="101" t="str">
        <f aca="false">IF(OR(A195="Insumo",A195="Composição Auxiliar"),J195,"")</f>
        <v/>
      </c>
      <c r="N195" s="102" t="str">
        <f aca="false">IF(ISNUMBER(SEARCH("COM ENCARGOS COMPLEMENTARES",D195)),J195,"")</f>
        <v/>
      </c>
      <c r="O195" s="102" t="str">
        <f aca="false">IF(N195&lt;&gt;"","",M195)</f>
        <v/>
      </c>
      <c r="P195" s="103" t="str">
        <f aca="false">IF(A195="Composição",A194,"")</f>
        <v/>
      </c>
      <c r="Q195" s="102" t="str">
        <f aca="false">IF(P195&lt;&gt;"",SUMIF(L195:L244,L195,N195:N244),"")</f>
        <v/>
      </c>
      <c r="R195" s="102" t="str">
        <f aca="false">IF(P195&lt;&gt;"",SUMIF(L195:L244,L195,O195:O244),"")</f>
        <v/>
      </c>
    </row>
    <row r="196" customFormat="false" ht="25.5" hidden="false" customHeight="true" outlineLevel="0" collapsed="false">
      <c r="A196" s="155"/>
      <c r="B196" s="155"/>
      <c r="C196" s="155"/>
      <c r="D196" s="155"/>
      <c r="E196" s="155"/>
      <c r="F196" s="155"/>
      <c r="G196" s="155"/>
      <c r="H196" s="155"/>
      <c r="I196" s="155"/>
      <c r="J196" s="155"/>
      <c r="L196" s="68" t="n">
        <f aca="false">IF(AND(A197&lt;&gt;"",A196=""),L195+1,L195)</f>
        <v>18</v>
      </c>
      <c r="M196" s="101" t="str">
        <f aca="false">IF(OR(A196="Insumo",A196="Composição Auxiliar"),J196,"")</f>
        <v/>
      </c>
      <c r="N196" s="102" t="str">
        <f aca="false">IF(ISNUMBER(SEARCH("COM ENCARGOS COMPLEMENTARES",D196)),J196,"")</f>
        <v/>
      </c>
      <c r="O196" s="102" t="str">
        <f aca="false">IF(N196&lt;&gt;"","",M196)</f>
        <v/>
      </c>
      <c r="P196" s="103" t="str">
        <f aca="false">IF(A196="Composição",A195,"")</f>
        <v/>
      </c>
      <c r="Q196" s="102" t="str">
        <f aca="false">IF(P196&lt;&gt;"",SUMIF(L196:L244,L196,N196:N244),"")</f>
        <v/>
      </c>
      <c r="R196" s="102" t="str">
        <f aca="false">IF(P196&lt;&gt;"",SUMIF(L196:L244,L196,O196:O244),"")</f>
        <v/>
      </c>
    </row>
    <row r="197" customFormat="false" ht="14" hidden="false" customHeight="false" outlineLevel="0" collapsed="false">
      <c r="A197" s="97" t="s">
        <v>81</v>
      </c>
      <c r="B197" s="97"/>
      <c r="C197" s="97"/>
      <c r="D197" s="97" t="s">
        <v>82</v>
      </c>
      <c r="E197" s="97"/>
      <c r="F197" s="97"/>
      <c r="G197" s="97"/>
      <c r="H197" s="98"/>
      <c r="I197" s="97"/>
      <c r="J197" s="99"/>
      <c r="L197" s="68" t="n">
        <f aca="false">IF(AND(A198&lt;&gt;"",A197=""),L196+1,L196)</f>
        <v>18</v>
      </c>
      <c r="M197" s="101" t="str">
        <f aca="false">IF(OR(A197="Insumo",A197="Composição Auxiliar"),J197,"")</f>
        <v/>
      </c>
      <c r="N197" s="102" t="str">
        <f aca="false">IF(ISNUMBER(SEARCH("COM ENCARGOS COMPLEMENTARES",D197)),J197,"")</f>
        <v/>
      </c>
      <c r="O197" s="102" t="str">
        <f aca="false">IF(N197&lt;&gt;"","",M197)</f>
        <v/>
      </c>
      <c r="P197" s="103" t="str">
        <f aca="false">IF(A197="Composição",A196,"")</f>
        <v/>
      </c>
      <c r="Q197" s="102" t="str">
        <f aca="false">IF(P197&lt;&gt;"",SUMIF(L197:L246,L197,N197:N246),"")</f>
        <v/>
      </c>
      <c r="R197" s="102" t="str">
        <f aca="false">IF(P197&lt;&gt;"",SUMIF(L197:L246,L197,O197:O246),"")</f>
        <v/>
      </c>
    </row>
    <row r="198" customFormat="false" ht="25.5" hidden="false" customHeight="true" outlineLevel="0" collapsed="false">
      <c r="A198" s="118" t="s">
        <v>83</v>
      </c>
      <c r="B198" s="119" t="s">
        <v>115</v>
      </c>
      <c r="C198" s="118" t="s">
        <v>116</v>
      </c>
      <c r="D198" s="118" t="s">
        <v>117</v>
      </c>
      <c r="E198" s="118" t="s">
        <v>118</v>
      </c>
      <c r="F198" s="118"/>
      <c r="G198" s="120" t="s">
        <v>119</v>
      </c>
      <c r="H198" s="119" t="s">
        <v>120</v>
      </c>
      <c r="I198" s="119" t="s">
        <v>130</v>
      </c>
      <c r="J198" s="119" t="s">
        <v>131</v>
      </c>
      <c r="L198" s="68" t="n">
        <f aca="false">IF(AND(A199&lt;&gt;"",A198=""),L197+1,L197)</f>
        <v>18</v>
      </c>
      <c r="M198" s="101" t="str">
        <f aca="false">IF(OR(A198="Insumo",A198="Composição Auxiliar"),J198,"")</f>
        <v/>
      </c>
      <c r="N198" s="102" t="str">
        <f aca="false">IF(ISNUMBER(SEARCH("COM ENCARGOS COMPLEMENTARES",D198)),J198,"")</f>
        <v/>
      </c>
      <c r="O198" s="102" t="str">
        <f aca="false">IF(N198&lt;&gt;"","",M198)</f>
        <v/>
      </c>
      <c r="P198" s="103" t="str">
        <f aca="false">IF(A198="Composição",A197,"")</f>
        <v/>
      </c>
      <c r="Q198" s="102" t="str">
        <f aca="false">IF(P198&lt;&gt;"",SUMIF(L198:L246,L198,N198:N246),"")</f>
        <v/>
      </c>
      <c r="R198" s="102" t="str">
        <f aca="false">IF(P198&lt;&gt;"",SUMIF(L198:L246,L198,O198:O246),"")</f>
        <v/>
      </c>
    </row>
    <row r="199" customFormat="false" ht="14.15" hidden="false" customHeight="true" outlineLevel="0" collapsed="false">
      <c r="A199" s="122" t="s">
        <v>121</v>
      </c>
      <c r="B199" s="55" t="s">
        <v>80</v>
      </c>
      <c r="C199" s="122" t="s">
        <v>153</v>
      </c>
      <c r="D199" s="122" t="s">
        <v>235</v>
      </c>
      <c r="E199" s="122" t="s">
        <v>170</v>
      </c>
      <c r="F199" s="122"/>
      <c r="G199" s="123" t="s">
        <v>214</v>
      </c>
      <c r="H199" s="124" t="n">
        <v>1</v>
      </c>
      <c r="I199" s="125" t="n">
        <f aca="false">SUMIF(L:L,$L199,M:M)</f>
        <v>101.04</v>
      </c>
      <c r="J199" s="125" t="n">
        <f aca="false">TRUNC(H199*I199,2)</f>
        <v>101.04</v>
      </c>
      <c r="L199" s="68" t="n">
        <f aca="false">IF(AND(A200&lt;&gt;"",A199=""),L198+1,L198)</f>
        <v>18</v>
      </c>
      <c r="M199" s="101" t="str">
        <f aca="false">IF(OR(A199="Insumo",A199="Composição Auxiliar"),J199,"")</f>
        <v/>
      </c>
      <c r="N199" s="102" t="str">
        <f aca="false">IF(ISNUMBER(SEARCH("COM ENCARGOS COMPLEMENTARES",D199)),J199,"")</f>
        <v/>
      </c>
      <c r="O199" s="102" t="str">
        <f aca="false">IF(N199&lt;&gt;"","",M199)</f>
        <v/>
      </c>
      <c r="P199" s="103" t="str">
        <f aca="false">IF(A199="Composição",A198,"")</f>
        <v> 2.6.1 </v>
      </c>
      <c r="Q199" s="102" t="n">
        <f aca="false">IF(P199&lt;&gt;"",SUMIF(L199:L248,L199,N199:N248),"")</f>
        <v>49.88</v>
      </c>
      <c r="R199" s="102" t="n">
        <f aca="false">IF(P199&lt;&gt;"",SUMIF(L199:L248,L199,O199:O248),"")</f>
        <v>51.16</v>
      </c>
    </row>
    <row r="200" customFormat="false" ht="14.25" hidden="false" customHeight="true" outlineLevel="0" collapsed="false">
      <c r="A200" s="129" t="s">
        <v>126</v>
      </c>
      <c r="B200" s="130" t="s">
        <v>179</v>
      </c>
      <c r="C200" s="129" t="s">
        <v>122</v>
      </c>
      <c r="D200" s="129" t="s">
        <v>180</v>
      </c>
      <c r="E200" s="129" t="s">
        <v>124</v>
      </c>
      <c r="F200" s="129"/>
      <c r="G200" s="131" t="s">
        <v>125</v>
      </c>
      <c r="H200" s="132" t="n">
        <v>0.92</v>
      </c>
      <c r="I200" s="133" t="n">
        <f aca="false">SUMIFS('ANALÍTICA AUXILIARES'!J:J,'ANALÍTICA AUXILIARES'!A:A,"Composição",'ANALÍTICA AUXILIARES'!B:B,$B200)</f>
        <v>19.33</v>
      </c>
      <c r="J200" s="133" t="n">
        <f aca="false">TRUNC(H200*I200,2)</f>
        <v>17.78</v>
      </c>
      <c r="L200" s="68" t="n">
        <f aca="false">IF(AND(A201&lt;&gt;"",A200=""),L199+1,L199)</f>
        <v>18</v>
      </c>
      <c r="M200" s="101" t="n">
        <f aca="false">IF(OR(A200="Insumo",A200="Composição Auxiliar"),J200,"")</f>
        <v>17.78</v>
      </c>
      <c r="N200" s="102" t="n">
        <f aca="false">IF(ISNUMBER(SEARCH("COM ENCARGOS COMPLEMENTARES",D200)),J200,"")</f>
        <v>17.78</v>
      </c>
      <c r="O200" s="102" t="str">
        <f aca="false">IF(N200&lt;&gt;"","",M200)</f>
        <v/>
      </c>
      <c r="P200" s="103" t="str">
        <f aca="false">IF(A200="Composição",A199,"")</f>
        <v/>
      </c>
      <c r="Q200" s="102" t="str">
        <f aca="false">IF(P200&lt;&gt;"",SUMIF(L200:L248,L200,N200:N248),"")</f>
        <v/>
      </c>
      <c r="R200" s="102" t="str">
        <f aca="false">IF(P200&lt;&gt;"",SUMIF(L200:L248,L200,O200:O248),"")</f>
        <v/>
      </c>
    </row>
    <row r="201" customFormat="false" ht="25" hidden="false" customHeight="true" outlineLevel="0" collapsed="false">
      <c r="A201" s="129" t="s">
        <v>126</v>
      </c>
      <c r="B201" s="130" t="s">
        <v>181</v>
      </c>
      <c r="C201" s="129" t="s">
        <v>122</v>
      </c>
      <c r="D201" s="129" t="s">
        <v>182</v>
      </c>
      <c r="E201" s="129" t="s">
        <v>124</v>
      </c>
      <c r="F201" s="129"/>
      <c r="G201" s="131" t="s">
        <v>125</v>
      </c>
      <c r="H201" s="132" t="n">
        <v>1.2</v>
      </c>
      <c r="I201" s="133" t="n">
        <f aca="false">SUMIFS('ANALÍTICA AUXILIARES'!J:J,'ANALÍTICA AUXILIARES'!A:A,"Composição",'ANALÍTICA AUXILIARES'!B:B,$B201)</f>
        <v>26.75</v>
      </c>
      <c r="J201" s="133" t="n">
        <f aca="false">TRUNC(H201*I201,2)</f>
        <v>32.1</v>
      </c>
      <c r="L201" s="68" t="n">
        <f aca="false">IF(AND(A202&lt;&gt;"",A201=""),L200+1,L200)</f>
        <v>18</v>
      </c>
      <c r="M201" s="101" t="n">
        <f aca="false">IF(OR(A201="Insumo",A201="Composição Auxiliar"),J201,"")</f>
        <v>32.1</v>
      </c>
      <c r="N201" s="102" t="n">
        <f aca="false">IF(ISNUMBER(SEARCH("COM ENCARGOS COMPLEMENTARES",D201)),J201,"")</f>
        <v>32.1</v>
      </c>
      <c r="O201" s="102" t="str">
        <f aca="false">IF(N201&lt;&gt;"","",M201)</f>
        <v/>
      </c>
      <c r="P201" s="103" t="str">
        <f aca="false">IF(A201="Composição",A200,"")</f>
        <v/>
      </c>
      <c r="Q201" s="102" t="str">
        <f aca="false">IF(P201&lt;&gt;"",SUMIF(L201:L250,L201,N201:N250),"")</f>
        <v/>
      </c>
      <c r="R201" s="102" t="str">
        <f aca="false">IF(P201&lt;&gt;"",SUMIF(L201:L250,L201,O201:O250),"")</f>
        <v/>
      </c>
    </row>
    <row r="202" customFormat="false" ht="38.25" hidden="false" customHeight="true" outlineLevel="0" collapsed="false">
      <c r="A202" s="129" t="s">
        <v>126</v>
      </c>
      <c r="B202" s="130" t="s">
        <v>236</v>
      </c>
      <c r="C202" s="129" t="s">
        <v>122</v>
      </c>
      <c r="D202" s="129" t="s">
        <v>237</v>
      </c>
      <c r="E202" s="129" t="s">
        <v>170</v>
      </c>
      <c r="F202" s="129"/>
      <c r="G202" s="131" t="s">
        <v>195</v>
      </c>
      <c r="H202" s="132" t="n">
        <v>5</v>
      </c>
      <c r="I202" s="133" t="n">
        <f aca="false">SUMIFS('ANALÍTICA AUXILIARES'!J:J,'ANALÍTICA AUXILIARES'!A:A,"Composição",'ANALÍTICA AUXILIARES'!B:B,$B202)</f>
        <v>10.16</v>
      </c>
      <c r="J202" s="133" t="n">
        <f aca="false">TRUNC(H202*I202,2)</f>
        <v>50.8</v>
      </c>
      <c r="L202" s="68" t="n">
        <f aca="false">IF(AND(A203&lt;&gt;"",A202=""),L201+1,L201)</f>
        <v>18</v>
      </c>
      <c r="M202" s="101" t="n">
        <f aca="false">IF(OR(A202="Insumo",A202="Composição Auxiliar"),J202,"")</f>
        <v>50.8</v>
      </c>
      <c r="N202" s="102" t="str">
        <f aca="false">IF(ISNUMBER(SEARCH("COM ENCARGOS COMPLEMENTARES",D202)),J202,"")</f>
        <v/>
      </c>
      <c r="O202" s="102" t="n">
        <f aca="false">IF(N202&lt;&gt;"","",M202)</f>
        <v>50.8</v>
      </c>
      <c r="P202" s="103" t="str">
        <f aca="false">IF(A202="Composição",A201,"")</f>
        <v/>
      </c>
      <c r="Q202" s="102" t="str">
        <f aca="false">IF(P202&lt;&gt;"",SUMIF(L202:L250,L202,N202:N250),"")</f>
        <v/>
      </c>
      <c r="R202" s="102" t="str">
        <f aca="false">IF(P202&lt;&gt;"",SUMIF(L202:L250,L202,O202:O250),"")</f>
        <v/>
      </c>
    </row>
    <row r="203" customFormat="false" ht="25" hidden="false" customHeight="false" outlineLevel="0" collapsed="false">
      <c r="A203" s="143" t="s">
        <v>128</v>
      </c>
      <c r="B203" s="144" t="s">
        <v>238</v>
      </c>
      <c r="C203" s="143" t="str">
        <f aca="false">VLOOKUP(B203,INSUMOS!$A:$I,2,0)</f>
        <v>SINAPI</v>
      </c>
      <c r="D203" s="143" t="str">
        <f aca="false">VLOOKUP(B203,INSUMOS!$A:$I,3,0)</f>
        <v>FITA ISOLANTE ADESIVA ANTICHAMA, USO ATE 750 V, EM ROLO DE 19 MM X 5 M</v>
      </c>
      <c r="E203" s="143" t="str">
        <f aca="false">VLOOKUP(B203,INSUMOS!$A:$I,4,0)</f>
        <v>Material</v>
      </c>
      <c r="F203" s="143"/>
      <c r="G203" s="145" t="str">
        <f aca="false">VLOOKUP(B203,INSUMOS!$A:$I,5,0)</f>
        <v>UN</v>
      </c>
      <c r="H203" s="146" t="n">
        <v>0.12</v>
      </c>
      <c r="I203" s="147" t="n">
        <f aca="false">VLOOKUP(B203,INSUMOS!$A:$I,8,0)</f>
        <v>3.02</v>
      </c>
      <c r="J203" s="147" t="n">
        <f aca="false">TRUNC(H203*I203,2)</f>
        <v>0.36</v>
      </c>
      <c r="L203" s="68" t="n">
        <f aca="false">IF(AND(A204&lt;&gt;"",A203=""),L202+1,L202)</f>
        <v>18</v>
      </c>
      <c r="M203" s="101" t="n">
        <f aca="false">IF(OR(A203="Insumo",A203="Composição Auxiliar"),J203,"")</f>
        <v>0.36</v>
      </c>
      <c r="N203" s="102" t="str">
        <f aca="false">IF(ISNUMBER(SEARCH("COM ENCARGOS COMPLEMENTARES",D203)),J203,"")</f>
        <v/>
      </c>
      <c r="O203" s="102" t="n">
        <f aca="false">IF(N203&lt;&gt;"","",M203)</f>
        <v>0.36</v>
      </c>
      <c r="P203" s="103" t="str">
        <f aca="false">IF(A203="Composição",A202,"")</f>
        <v/>
      </c>
      <c r="Q203" s="102" t="str">
        <f aca="false">IF(P203&lt;&gt;"",SUMIF(L203:L252,L203,N203:N252),"")</f>
        <v/>
      </c>
      <c r="R203" s="102" t="str">
        <f aca="false">IF(P203&lt;&gt;"",SUMIF(L203:L252,L203,O203:O252),"")</f>
        <v/>
      </c>
    </row>
    <row r="204" customFormat="false" ht="14" hidden="false" customHeight="false" outlineLevel="0" collapsed="false">
      <c r="A204" s="149"/>
      <c r="B204" s="149"/>
      <c r="C204" s="149"/>
      <c r="D204" s="149"/>
      <c r="E204" s="149"/>
      <c r="F204" s="150"/>
      <c r="G204" s="149"/>
      <c r="H204" s="150"/>
      <c r="I204" s="149"/>
      <c r="J204" s="150"/>
      <c r="L204" s="68" t="n">
        <f aca="false">IF(AND(A205&lt;&gt;"",A204=""),L203+1,L203)</f>
        <v>18</v>
      </c>
      <c r="M204" s="101" t="str">
        <f aca="false">IF(OR(A204="Insumo",A204="Composição Auxiliar"),J204,"")</f>
        <v/>
      </c>
      <c r="N204" s="102" t="str">
        <f aca="false">IF(ISNUMBER(SEARCH("COM ENCARGOS COMPLEMENTARES",D204)),J204,"")</f>
        <v/>
      </c>
      <c r="O204" s="102" t="str">
        <f aca="false">IF(N204&lt;&gt;"","",M204)</f>
        <v/>
      </c>
      <c r="P204" s="103" t="str">
        <f aca="false">IF(A204="Composição",A203,"")</f>
        <v/>
      </c>
      <c r="Q204" s="102" t="str">
        <f aca="false">IF(P204&lt;&gt;"",SUMIF(L204:L252,L204,N204:N252),"")</f>
        <v/>
      </c>
      <c r="R204" s="102" t="str">
        <f aca="false">IF(P204&lt;&gt;"",SUMIF(L204:L252,L204,O204:O252),"")</f>
        <v/>
      </c>
    </row>
    <row r="205" customFormat="false" ht="14.25" hidden="false" customHeight="true" outlineLevel="0" collapsed="false">
      <c r="A205" s="149"/>
      <c r="B205" s="149"/>
      <c r="C205" s="149"/>
      <c r="D205" s="149"/>
      <c r="E205" s="149"/>
      <c r="F205" s="150"/>
      <c r="G205" s="149"/>
      <c r="H205" s="151" t="s">
        <v>135</v>
      </c>
      <c r="I205" s="151"/>
      <c r="J205" s="150" t="n">
        <f aca="false">TRUNC(SUMIF(L:L,$L205,M:M)*(1+$J$9),2)</f>
        <v>123.49</v>
      </c>
      <c r="L205" s="68" t="n">
        <f aca="false">IF(AND(A206&lt;&gt;"",A205=""),L204+1,L204)</f>
        <v>18</v>
      </c>
      <c r="M205" s="101" t="str">
        <f aca="false">IF(OR(A205="Insumo",A205="Composição Auxiliar"),J205,"")</f>
        <v/>
      </c>
      <c r="N205" s="102" t="str">
        <f aca="false">IF(ISNUMBER(SEARCH("COM ENCARGOS COMPLEMENTARES",D205)),J205,"")</f>
        <v/>
      </c>
      <c r="O205" s="102" t="str">
        <f aca="false">IF(N205&lt;&gt;"","",M205)</f>
        <v/>
      </c>
      <c r="P205" s="103" t="str">
        <f aca="false">IF(A205="Composição",A204,"")</f>
        <v/>
      </c>
      <c r="Q205" s="102" t="str">
        <f aca="false">IF(P205&lt;&gt;"",SUMIF(L205:L254,L205,N205:N254),"")</f>
        <v/>
      </c>
      <c r="R205" s="102" t="str">
        <f aca="false">IF(P205&lt;&gt;"",SUMIF(L205:L254,L205,O205:O254),"")</f>
        <v/>
      </c>
    </row>
    <row r="206" customFormat="false" ht="14.5" hidden="false" customHeight="false" outlineLevel="0" collapsed="false">
      <c r="A206" s="152"/>
      <c r="B206" s="152"/>
      <c r="C206" s="152"/>
      <c r="D206" s="152"/>
      <c r="E206" s="152"/>
      <c r="F206" s="152"/>
      <c r="G206" s="152" t="s">
        <v>140</v>
      </c>
      <c r="H206" s="153" t="n">
        <v>21</v>
      </c>
      <c r="I206" s="152" t="s">
        <v>141</v>
      </c>
      <c r="J206" s="154" t="n">
        <f aca="false">TRUNC(J205*H206,2)</f>
        <v>2593.29</v>
      </c>
      <c r="L206" s="68" t="n">
        <f aca="false">IF(AND(A207&lt;&gt;"",A206=""),L205+1,L205)</f>
        <v>18</v>
      </c>
      <c r="M206" s="101" t="str">
        <f aca="false">IF(OR(A206="Insumo",A206="Composição Auxiliar"),J206,"")</f>
        <v/>
      </c>
      <c r="N206" s="102" t="str">
        <f aca="false">IF(ISNUMBER(SEARCH("COM ENCARGOS COMPLEMENTARES",D206)),J206,"")</f>
        <v/>
      </c>
      <c r="O206" s="102" t="str">
        <f aca="false">IF(N206&lt;&gt;"","",M206)</f>
        <v/>
      </c>
      <c r="P206" s="103" t="str">
        <f aca="false">IF(A206="Composição",A205,"")</f>
        <v/>
      </c>
      <c r="Q206" s="102" t="str">
        <f aca="false">IF(P206&lt;&gt;"",SUMIF(L206:L254,L206,N206:N254),"")</f>
        <v/>
      </c>
      <c r="R206" s="102" t="str">
        <f aca="false">IF(P206&lt;&gt;"",SUMIF(L206:L254,L206,O206:O254),"")</f>
        <v/>
      </c>
    </row>
    <row r="207" customFormat="false" ht="14.5" hidden="false" customHeight="false" outlineLevel="0" collapsed="false">
      <c r="A207" s="155"/>
      <c r="B207" s="155"/>
      <c r="C207" s="155"/>
      <c r="D207" s="155"/>
      <c r="E207" s="155"/>
      <c r="F207" s="155"/>
      <c r="G207" s="155"/>
      <c r="H207" s="155"/>
      <c r="I207" s="155"/>
      <c r="J207" s="155"/>
      <c r="L207" s="68" t="n">
        <f aca="false">IF(AND(A208&lt;&gt;"",A207=""),L206+1,L206)</f>
        <v>19</v>
      </c>
      <c r="M207" s="101" t="str">
        <f aca="false">IF(OR(A207="Insumo",A207="Composição Auxiliar"),J207,"")</f>
        <v/>
      </c>
      <c r="N207" s="102" t="str">
        <f aca="false">IF(ISNUMBER(SEARCH("COM ENCARGOS COMPLEMENTARES",D207)),J207,"")</f>
        <v/>
      </c>
      <c r="O207" s="102" t="str">
        <f aca="false">IF(N207&lt;&gt;"","",M207)</f>
        <v/>
      </c>
      <c r="P207" s="103" t="str">
        <f aca="false">IF(A207="Composição",A206,"")</f>
        <v/>
      </c>
      <c r="Q207" s="102" t="str">
        <f aca="false">IF(P207&lt;&gt;"",SUMIF(L207:L256,L207,N207:N256),"")</f>
        <v/>
      </c>
      <c r="R207" s="102" t="str">
        <f aca="false">IF(P207&lt;&gt;"",SUMIF(L207:L256,L207,O207:O256),"")</f>
        <v/>
      </c>
    </row>
    <row r="208" customFormat="false" ht="14" hidden="false" customHeight="false" outlineLevel="0" collapsed="false">
      <c r="A208" s="97" t="s">
        <v>239</v>
      </c>
      <c r="B208" s="97"/>
      <c r="C208" s="97"/>
      <c r="D208" s="97" t="s">
        <v>85</v>
      </c>
      <c r="E208" s="97"/>
      <c r="F208" s="97"/>
      <c r="G208" s="97"/>
      <c r="H208" s="98"/>
      <c r="I208" s="97"/>
      <c r="J208" s="99"/>
      <c r="L208" s="68" t="n">
        <f aca="false">IF(AND(A209&lt;&gt;"",A208=""),L207+1,L207)</f>
        <v>19</v>
      </c>
      <c r="M208" s="101" t="str">
        <f aca="false">IF(OR(A208="Insumo",A208="Composição Auxiliar"),J208,"")</f>
        <v/>
      </c>
      <c r="N208" s="102" t="str">
        <f aca="false">IF(ISNUMBER(SEARCH("COM ENCARGOS COMPLEMENTARES",D208)),J208,"")</f>
        <v/>
      </c>
      <c r="O208" s="102" t="str">
        <f aca="false">IF(N208&lt;&gt;"","",M208)</f>
        <v/>
      </c>
      <c r="P208" s="103" t="str">
        <f aca="false">IF(A208="Composição",A207,"")</f>
        <v/>
      </c>
      <c r="Q208" s="102" t="str">
        <f aca="false">IF(P208&lt;&gt;"",SUMIF(L208:L256,L208,N208:N256),"")</f>
        <v/>
      </c>
      <c r="R208" s="102" t="str">
        <f aca="false">IF(P208&lt;&gt;"",SUMIF(L208:L256,L208,O208:O256),"")</f>
        <v/>
      </c>
    </row>
    <row r="209" customFormat="false" ht="14" hidden="false" customHeight="true" outlineLevel="0" collapsed="false">
      <c r="A209" s="118" t="s">
        <v>86</v>
      </c>
      <c r="B209" s="119" t="s">
        <v>115</v>
      </c>
      <c r="C209" s="118" t="s">
        <v>116</v>
      </c>
      <c r="D209" s="118" t="s">
        <v>117</v>
      </c>
      <c r="E209" s="118" t="s">
        <v>118</v>
      </c>
      <c r="F209" s="118"/>
      <c r="G209" s="120" t="s">
        <v>119</v>
      </c>
      <c r="H209" s="119" t="s">
        <v>120</v>
      </c>
      <c r="I209" s="119" t="s">
        <v>130</v>
      </c>
      <c r="J209" s="119" t="s">
        <v>131</v>
      </c>
      <c r="L209" s="68" t="n">
        <f aca="false">IF(AND(A210&lt;&gt;"",A209=""),L208+1,L208)</f>
        <v>19</v>
      </c>
      <c r="M209" s="101" t="str">
        <f aca="false">IF(OR(A209="Insumo",A209="Composição Auxiliar"),J209,"")</f>
        <v/>
      </c>
      <c r="N209" s="102" t="str">
        <f aca="false">IF(ISNUMBER(SEARCH("COM ENCARGOS COMPLEMENTARES",D209)),J209,"")</f>
        <v/>
      </c>
      <c r="O209" s="102" t="str">
        <f aca="false">IF(N209&lt;&gt;"","",M209)</f>
        <v/>
      </c>
      <c r="P209" s="103" t="str">
        <f aca="false">IF(A209="Composição",A208,"")</f>
        <v/>
      </c>
      <c r="Q209" s="102" t="str">
        <f aca="false">IF(P209&lt;&gt;"",SUMIF(L209:L258,L209,N209:N258),"")</f>
        <v/>
      </c>
      <c r="R209" s="102" t="str">
        <f aca="false">IF(P209&lt;&gt;"",SUMIF(L209:L258,L209,O209:O258),"")</f>
        <v/>
      </c>
    </row>
    <row r="210" customFormat="false" ht="25.5" hidden="false" customHeight="true" outlineLevel="0" collapsed="false">
      <c r="A210" s="122" t="s">
        <v>121</v>
      </c>
      <c r="B210" s="55" t="s">
        <v>87</v>
      </c>
      <c r="C210" s="122" t="s">
        <v>153</v>
      </c>
      <c r="D210" s="122" t="s">
        <v>240</v>
      </c>
      <c r="E210" s="122" t="s">
        <v>170</v>
      </c>
      <c r="F210" s="122"/>
      <c r="G210" s="123" t="s">
        <v>178</v>
      </c>
      <c r="H210" s="124" t="n">
        <v>1</v>
      </c>
      <c r="I210" s="125" t="n">
        <f aca="false">SUMIF(L:L,$L210,M:M)</f>
        <v>62.32</v>
      </c>
      <c r="J210" s="125" t="n">
        <f aca="false">TRUNC(H210*I210,2)</f>
        <v>62.32</v>
      </c>
      <c r="L210" s="68" t="n">
        <f aca="false">IF(AND(A211&lt;&gt;"",A210=""),L209+1,L209)</f>
        <v>19</v>
      </c>
      <c r="M210" s="101" t="str">
        <f aca="false">IF(OR(A210="Insumo",A210="Composição Auxiliar"),J210,"")</f>
        <v/>
      </c>
      <c r="N210" s="102" t="str">
        <f aca="false">IF(ISNUMBER(SEARCH("COM ENCARGOS COMPLEMENTARES",D210)),J210,"")</f>
        <v/>
      </c>
      <c r="O210" s="102" t="str">
        <f aca="false">IF(N210&lt;&gt;"","",M210)</f>
        <v/>
      </c>
      <c r="P210" s="103" t="str">
        <f aca="false">IF(A210="Composição",A209,"")</f>
        <v> 2.7.1 </v>
      </c>
      <c r="Q210" s="102" t="n">
        <f aca="false">IF(P210&lt;&gt;"",SUMIF(L210:L258,L210,N210:N258),"")</f>
        <v>62.32</v>
      </c>
      <c r="R210" s="102" t="n">
        <f aca="false">IF(P210&lt;&gt;"",SUMIF(L210:L258,L210,O210:O258),"")</f>
        <v>0</v>
      </c>
    </row>
    <row r="211" customFormat="false" ht="25" hidden="false" customHeight="true" outlineLevel="0" collapsed="false">
      <c r="A211" s="129" t="s">
        <v>126</v>
      </c>
      <c r="B211" s="130" t="s">
        <v>98</v>
      </c>
      <c r="C211" s="129" t="s">
        <v>122</v>
      </c>
      <c r="D211" s="129" t="s">
        <v>172</v>
      </c>
      <c r="E211" s="129" t="s">
        <v>124</v>
      </c>
      <c r="F211" s="129"/>
      <c r="G211" s="131" t="s">
        <v>125</v>
      </c>
      <c r="H211" s="132" t="n">
        <v>0.5</v>
      </c>
      <c r="I211" s="133" t="n">
        <f aca="false">SUMIFS('ANALÍTICA AUXILIARES'!J:J,'ANALÍTICA AUXILIARES'!A:A,"Composição",'ANALÍTICA AUXILIARES'!B:B,$B211)</f>
        <v>111.28</v>
      </c>
      <c r="J211" s="133" t="n">
        <f aca="false">TRUNC(H211*I211,2)</f>
        <v>55.64</v>
      </c>
      <c r="L211" s="68" t="n">
        <f aca="false">IF(AND(A212&lt;&gt;"",A211=""),L210+1,L210)</f>
        <v>19</v>
      </c>
      <c r="M211" s="101" t="n">
        <f aca="false">IF(OR(A211="Insumo",A211="Composição Auxiliar"),J211,"")</f>
        <v>55.64</v>
      </c>
      <c r="N211" s="102" t="n">
        <f aca="false">IF(ISNUMBER(SEARCH("COM ENCARGOS COMPLEMENTARES",D211)),J211,"")</f>
        <v>55.64</v>
      </c>
      <c r="O211" s="102" t="str">
        <f aca="false">IF(N211&lt;&gt;"","",M211)</f>
        <v/>
      </c>
      <c r="P211" s="103" t="str">
        <f aca="false">IF(A211="Composição",A210,"")</f>
        <v/>
      </c>
      <c r="Q211" s="102" t="str">
        <f aca="false">IF(P211&lt;&gt;"",SUMIF(L211:L260,L211,N211:N260),"")</f>
        <v/>
      </c>
      <c r="R211" s="102" t="str">
        <f aca="false">IF(P211&lt;&gt;"",SUMIF(L211:L260,L211,O211:O260),"")</f>
        <v/>
      </c>
    </row>
    <row r="212" customFormat="false" ht="25" hidden="false" customHeight="true" outlineLevel="0" collapsed="false">
      <c r="A212" s="129" t="s">
        <v>126</v>
      </c>
      <c r="B212" s="130" t="s">
        <v>181</v>
      </c>
      <c r="C212" s="129" t="s">
        <v>122</v>
      </c>
      <c r="D212" s="129" t="s">
        <v>182</v>
      </c>
      <c r="E212" s="129" t="s">
        <v>124</v>
      </c>
      <c r="F212" s="129"/>
      <c r="G212" s="131" t="s">
        <v>125</v>
      </c>
      <c r="H212" s="132" t="n">
        <v>0.25</v>
      </c>
      <c r="I212" s="133" t="n">
        <f aca="false">SUMIFS('ANALÍTICA AUXILIARES'!J:J,'ANALÍTICA AUXILIARES'!A:A,"Composição",'ANALÍTICA AUXILIARES'!B:B,$B212)</f>
        <v>26.75</v>
      </c>
      <c r="J212" s="133" t="n">
        <f aca="false">TRUNC(H212*I212,2)</f>
        <v>6.68</v>
      </c>
      <c r="L212" s="68" t="n">
        <f aca="false">IF(AND(A213&lt;&gt;"",A212=""),L211+1,L211)</f>
        <v>19</v>
      </c>
      <c r="M212" s="101" t="n">
        <f aca="false">IF(OR(A212="Insumo",A212="Composição Auxiliar"),J212,"")</f>
        <v>6.68</v>
      </c>
      <c r="N212" s="102" t="n">
        <f aca="false">IF(ISNUMBER(SEARCH("COM ENCARGOS COMPLEMENTARES",D212)),J212,"")</f>
        <v>6.68</v>
      </c>
      <c r="O212" s="102" t="str">
        <f aca="false">IF(N212&lt;&gt;"","",M212)</f>
        <v/>
      </c>
      <c r="P212" s="103" t="str">
        <f aca="false">IF(A212="Composição",A211,"")</f>
        <v/>
      </c>
      <c r="Q212" s="102" t="str">
        <f aca="false">IF(P212&lt;&gt;"",SUMIF(L212:L260,L212,N212:N260),"")</f>
        <v/>
      </c>
      <c r="R212" s="102" t="str">
        <f aca="false">IF(P212&lt;&gt;"",SUMIF(L212:L260,L212,O212:O260),"")</f>
        <v/>
      </c>
    </row>
    <row r="213" customFormat="false" ht="14" hidden="false" customHeight="false" outlineLevel="0" collapsed="false">
      <c r="A213" s="149"/>
      <c r="B213" s="149"/>
      <c r="C213" s="149"/>
      <c r="D213" s="149"/>
      <c r="E213" s="149"/>
      <c r="F213" s="150"/>
      <c r="G213" s="149"/>
      <c r="H213" s="150"/>
      <c r="I213" s="149"/>
      <c r="J213" s="150"/>
      <c r="L213" s="68" t="n">
        <f aca="false">IF(AND(A214&lt;&gt;"",A213=""),L212+1,L212)</f>
        <v>19</v>
      </c>
      <c r="M213" s="101" t="str">
        <f aca="false">IF(OR(A213="Insumo",A213="Composição Auxiliar"),J213,"")</f>
        <v/>
      </c>
      <c r="N213" s="102" t="str">
        <f aca="false">IF(ISNUMBER(SEARCH("COM ENCARGOS COMPLEMENTARES",D213)),J213,"")</f>
        <v/>
      </c>
      <c r="O213" s="102" t="str">
        <f aca="false">IF(N213&lt;&gt;"","",M213)</f>
        <v/>
      </c>
      <c r="P213" s="103" t="str">
        <f aca="false">IF(A213="Composição",A212,"")</f>
        <v/>
      </c>
      <c r="Q213" s="102" t="str">
        <f aca="false">IF(P213&lt;&gt;"",SUMIF(L213:L262,L213,N213:N262),"")</f>
        <v/>
      </c>
      <c r="R213" s="102" t="str">
        <f aca="false">IF(P213&lt;&gt;"",SUMIF(L213:L262,L213,O213:O262),"")</f>
        <v/>
      </c>
    </row>
    <row r="214" customFormat="false" ht="14.25" hidden="false" customHeight="true" outlineLevel="0" collapsed="false">
      <c r="A214" s="149"/>
      <c r="B214" s="149"/>
      <c r="C214" s="149"/>
      <c r="D214" s="149"/>
      <c r="E214" s="149"/>
      <c r="F214" s="150"/>
      <c r="G214" s="149"/>
      <c r="H214" s="151" t="s">
        <v>135</v>
      </c>
      <c r="I214" s="151"/>
      <c r="J214" s="150" t="n">
        <f aca="false">TRUNC(SUMIF(L:L,$L214,M:M)*(1+$J$9),2)</f>
        <v>76.16</v>
      </c>
      <c r="L214" s="68" t="n">
        <f aca="false">IF(AND(A215&lt;&gt;"",A214=""),L213+1,L213)</f>
        <v>19</v>
      </c>
      <c r="M214" s="101" t="str">
        <f aca="false">IF(OR(A214="Insumo",A214="Composição Auxiliar"),J214,"")</f>
        <v/>
      </c>
      <c r="N214" s="102" t="str">
        <f aca="false">IF(ISNUMBER(SEARCH("COM ENCARGOS COMPLEMENTARES",D214)),J214,"")</f>
        <v/>
      </c>
      <c r="O214" s="102" t="str">
        <f aca="false">IF(N214&lt;&gt;"","",M214)</f>
        <v/>
      </c>
      <c r="P214" s="103" t="str">
        <f aca="false">IF(A214="Composição",A213,"")</f>
        <v/>
      </c>
      <c r="Q214" s="102" t="str">
        <f aca="false">IF(P214&lt;&gt;"",SUMIF(L214:L262,L214,N214:N262),"")</f>
        <v/>
      </c>
      <c r="R214" s="102" t="str">
        <f aca="false">IF(P214&lt;&gt;"",SUMIF(L214:L262,L214,O214:O262),"")</f>
        <v/>
      </c>
    </row>
    <row r="215" customFormat="false" ht="14.5" hidden="false" customHeight="false" outlineLevel="0" collapsed="false">
      <c r="A215" s="152"/>
      <c r="B215" s="152"/>
      <c r="C215" s="152"/>
      <c r="D215" s="152"/>
      <c r="E215" s="152"/>
      <c r="F215" s="152"/>
      <c r="G215" s="152" t="s">
        <v>140</v>
      </c>
      <c r="H215" s="153" t="n">
        <v>55.62</v>
      </c>
      <c r="I215" s="152" t="s">
        <v>141</v>
      </c>
      <c r="J215" s="154" t="n">
        <f aca="false">TRUNC(J214*H215,2)</f>
        <v>4236.01</v>
      </c>
      <c r="L215" s="68" t="n">
        <f aca="false">IF(AND(A216&lt;&gt;"",A215=""),L214+1,L214)</f>
        <v>19</v>
      </c>
      <c r="M215" s="101" t="str">
        <f aca="false">IF(OR(A215="Insumo",A215="Composição Auxiliar"),J215,"")</f>
        <v/>
      </c>
      <c r="N215" s="102" t="str">
        <f aca="false">IF(ISNUMBER(SEARCH("COM ENCARGOS COMPLEMENTARES",D215)),J215,"")</f>
        <v/>
      </c>
      <c r="O215" s="102" t="str">
        <f aca="false">IF(N215&lt;&gt;"","",M215)</f>
        <v/>
      </c>
      <c r="P215" s="103" t="str">
        <f aca="false">IF(A215="Composição",A214,"")</f>
        <v/>
      </c>
      <c r="Q215" s="102" t="str">
        <f aca="false">IF(P215&lt;&gt;"",SUMIF(L215:L264,L215,N215:N264),"")</f>
        <v/>
      </c>
      <c r="R215" s="102" t="str">
        <f aca="false">IF(P215&lt;&gt;"",SUMIF(L215:L264,L215,O215:O264),"")</f>
        <v/>
      </c>
    </row>
    <row r="216" customFormat="false" ht="14.5" hidden="false" customHeight="false" outlineLevel="0" collapsed="false">
      <c r="A216" s="155"/>
      <c r="B216" s="155"/>
      <c r="C216" s="155"/>
      <c r="D216" s="155"/>
      <c r="E216" s="155"/>
      <c r="F216" s="155"/>
      <c r="G216" s="155"/>
      <c r="H216" s="155"/>
      <c r="I216" s="155"/>
      <c r="J216" s="155"/>
      <c r="L216" s="68" t="n">
        <f aca="false">IF(AND(A217&lt;&gt;"",A216=""),L215+1,L215)</f>
        <v>20</v>
      </c>
      <c r="M216" s="101" t="str">
        <f aca="false">IF(OR(A216="Insumo",A216="Composição Auxiliar"),J216,"")</f>
        <v/>
      </c>
      <c r="N216" s="102" t="str">
        <f aca="false">IF(ISNUMBER(SEARCH("COM ENCARGOS COMPLEMENTARES",D216)),J216,"")</f>
        <v/>
      </c>
      <c r="O216" s="102" t="str">
        <f aca="false">IF(N216&lt;&gt;"","",M216)</f>
        <v/>
      </c>
      <c r="P216" s="103" t="str">
        <f aca="false">IF(A216="Composição",A215,"")</f>
        <v/>
      </c>
      <c r="Q216" s="102" t="str">
        <f aca="false">IF(P216&lt;&gt;"",SUMIF(L216:L264,L216,N216:N264),"")</f>
        <v/>
      </c>
      <c r="R216" s="102" t="str">
        <f aca="false">IF(P216&lt;&gt;"",SUMIF(L216:L264,L216,O216:O264),"")</f>
        <v/>
      </c>
    </row>
    <row r="217" customFormat="false" ht="14" hidden="false" customHeight="false" outlineLevel="0" collapsed="false">
      <c r="A217" s="97" t="s">
        <v>89</v>
      </c>
      <c r="B217" s="97"/>
      <c r="C217" s="97"/>
      <c r="D217" s="97" t="s">
        <v>90</v>
      </c>
      <c r="E217" s="97"/>
      <c r="F217" s="97"/>
      <c r="G217" s="97"/>
      <c r="H217" s="98"/>
      <c r="I217" s="97"/>
      <c r="J217" s="99"/>
      <c r="L217" s="68" t="n">
        <f aca="false">IF(AND(A218&lt;&gt;"",A217=""),L216+1,L216)</f>
        <v>20</v>
      </c>
      <c r="M217" s="101" t="str">
        <f aca="false">IF(OR(A217="Insumo",A217="Composição Auxiliar"),J217,"")</f>
        <v/>
      </c>
      <c r="N217" s="102" t="str">
        <f aca="false">IF(ISNUMBER(SEARCH("COM ENCARGOS COMPLEMENTARES",D217)),J217,"")</f>
        <v/>
      </c>
      <c r="O217" s="102" t="str">
        <f aca="false">IF(N217&lt;&gt;"","",M217)</f>
        <v/>
      </c>
      <c r="P217" s="103" t="str">
        <f aca="false">IF(A217="Composição",A216,"")</f>
        <v/>
      </c>
      <c r="Q217" s="102" t="str">
        <f aca="false">IF(P217&lt;&gt;"",SUMIF(L217:L266,L217,N217:N266),"")</f>
        <v/>
      </c>
      <c r="R217" s="102" t="str">
        <f aca="false">IF(P217&lt;&gt;"",SUMIF(L217:L266,L217,O217:O266),"")</f>
        <v/>
      </c>
    </row>
    <row r="218" customFormat="false" ht="14" hidden="false" customHeight="true" outlineLevel="0" collapsed="false">
      <c r="A218" s="118" t="s">
        <v>91</v>
      </c>
      <c r="B218" s="119" t="s">
        <v>115</v>
      </c>
      <c r="C218" s="118" t="s">
        <v>116</v>
      </c>
      <c r="D218" s="118" t="s">
        <v>117</v>
      </c>
      <c r="E218" s="118" t="s">
        <v>118</v>
      </c>
      <c r="F218" s="118"/>
      <c r="G218" s="120" t="s">
        <v>119</v>
      </c>
      <c r="H218" s="119" t="s">
        <v>120</v>
      </c>
      <c r="I218" s="119" t="s">
        <v>130</v>
      </c>
      <c r="J218" s="119" t="s">
        <v>131</v>
      </c>
      <c r="L218" s="68" t="n">
        <f aca="false">IF(AND(A219&lt;&gt;"",A218=""),L217+1,L217)</f>
        <v>20</v>
      </c>
      <c r="M218" s="101" t="str">
        <f aca="false">IF(OR(A218="Insumo",A218="Composição Auxiliar"),J218,"")</f>
        <v/>
      </c>
      <c r="N218" s="102" t="str">
        <f aca="false">IF(ISNUMBER(SEARCH("COM ENCARGOS COMPLEMENTARES",D218)),J218,"")</f>
        <v/>
      </c>
      <c r="O218" s="102" t="str">
        <f aca="false">IF(N218&lt;&gt;"","",M218)</f>
        <v/>
      </c>
      <c r="P218" s="103" t="str">
        <f aca="false">IF(A218="Composição",A217,"")</f>
        <v/>
      </c>
      <c r="Q218" s="102" t="str">
        <f aca="false">IF(P218&lt;&gt;"",SUMIF(L218:L266,L218,N218:N266),"")</f>
        <v/>
      </c>
      <c r="R218" s="102" t="str">
        <f aca="false">IF(P218&lt;&gt;"",SUMIF(L218:L266,L218,O218:O266),"")</f>
        <v/>
      </c>
    </row>
    <row r="219" customFormat="false" ht="25.5" hidden="false" customHeight="true" outlineLevel="0" collapsed="false">
      <c r="A219" s="122" t="s">
        <v>121</v>
      </c>
      <c r="B219" s="55" t="s">
        <v>92</v>
      </c>
      <c r="C219" s="122" t="s">
        <v>153</v>
      </c>
      <c r="D219" s="122" t="s">
        <v>90</v>
      </c>
      <c r="E219" s="122" t="s">
        <v>170</v>
      </c>
      <c r="F219" s="122"/>
      <c r="G219" s="123" t="s">
        <v>171</v>
      </c>
      <c r="H219" s="124" t="n">
        <v>1</v>
      </c>
      <c r="I219" s="125" t="n">
        <f aca="false">SUMIF(L:L,$L219,M:M)</f>
        <v>1437.6</v>
      </c>
      <c r="J219" s="125" t="n">
        <f aca="false">TRUNC(H219*I219,2)</f>
        <v>1437.6</v>
      </c>
      <c r="L219" s="68" t="n">
        <f aca="false">IF(AND(A220&lt;&gt;"",A219=""),L218+1,L218)</f>
        <v>20</v>
      </c>
      <c r="M219" s="101" t="str">
        <f aca="false">IF(OR(A219="Insumo",A219="Composição Auxiliar"),J219,"")</f>
        <v/>
      </c>
      <c r="N219" s="102" t="str">
        <f aca="false">IF(ISNUMBER(SEARCH("COM ENCARGOS COMPLEMENTARES",D219)),J219,"")</f>
        <v/>
      </c>
      <c r="O219" s="102" t="str">
        <f aca="false">IF(N219&lt;&gt;"","",M219)</f>
        <v/>
      </c>
      <c r="P219" s="103" t="str">
        <f aca="false">IF(A219="Composição",A218,"")</f>
        <v> 2.9.1 </v>
      </c>
      <c r="Q219" s="102" t="n">
        <f aca="false">IF(P219&lt;&gt;"",SUMIF(L219:L268,L219,N219:N268),"")</f>
        <v>1437.6</v>
      </c>
      <c r="R219" s="102" t="n">
        <f aca="false">IF(P219&lt;&gt;"",SUMIF(L219:L268,L219,O219:O268),"")</f>
        <v>0</v>
      </c>
    </row>
    <row r="220" customFormat="false" ht="25" hidden="false" customHeight="true" outlineLevel="0" collapsed="false">
      <c r="A220" s="129" t="s">
        <v>126</v>
      </c>
      <c r="B220" s="130" t="s">
        <v>98</v>
      </c>
      <c r="C220" s="129" t="s">
        <v>122</v>
      </c>
      <c r="D220" s="129" t="s">
        <v>172</v>
      </c>
      <c r="E220" s="129" t="s">
        <v>124</v>
      </c>
      <c r="F220" s="129"/>
      <c r="G220" s="131" t="s">
        <v>125</v>
      </c>
      <c r="H220" s="132" t="n">
        <v>12</v>
      </c>
      <c r="I220" s="133" t="n">
        <f aca="false">SUMIFS('ANALÍTICA AUXILIARES'!J:J,'ANALÍTICA AUXILIARES'!A:A,"Composição",'ANALÍTICA AUXILIARES'!B:B,$B220)</f>
        <v>111.28</v>
      </c>
      <c r="J220" s="133" t="n">
        <f aca="false">TRUNC(H220*I220,2)</f>
        <v>1335.36</v>
      </c>
      <c r="L220" s="68" t="n">
        <f aca="false">IF(AND(A221&lt;&gt;"",A220=""),L219+1,L219)</f>
        <v>20</v>
      </c>
      <c r="M220" s="101" t="n">
        <f aca="false">IF(OR(A220="Insumo",A220="Composição Auxiliar"),J220,"")</f>
        <v>1335.36</v>
      </c>
      <c r="N220" s="102" t="n">
        <f aca="false">IF(ISNUMBER(SEARCH("COM ENCARGOS COMPLEMENTARES",D220)),J220,"")</f>
        <v>1335.36</v>
      </c>
      <c r="O220" s="102" t="str">
        <f aca="false">IF(N220&lt;&gt;"","",M220)</f>
        <v/>
      </c>
      <c r="P220" s="103" t="str">
        <f aca="false">IF(A220="Composição",A219,"")</f>
        <v/>
      </c>
      <c r="Q220" s="102" t="str">
        <f aca="false">IF(P220&lt;&gt;"",SUMIF(L220:L268,L220,N220:N268),"")</f>
        <v/>
      </c>
      <c r="R220" s="102" t="str">
        <f aca="false">IF(P220&lt;&gt;"",SUMIF(L220:L268,L220,O220:O268),"")</f>
        <v/>
      </c>
    </row>
    <row r="221" customFormat="false" ht="25" hidden="false" customHeight="true" outlineLevel="0" collapsed="false">
      <c r="A221" s="129" t="s">
        <v>126</v>
      </c>
      <c r="B221" s="130" t="s">
        <v>173</v>
      </c>
      <c r="C221" s="129" t="s">
        <v>122</v>
      </c>
      <c r="D221" s="129" t="s">
        <v>174</v>
      </c>
      <c r="E221" s="129" t="s">
        <v>124</v>
      </c>
      <c r="F221" s="129"/>
      <c r="G221" s="131" t="s">
        <v>125</v>
      </c>
      <c r="H221" s="132" t="n">
        <v>6</v>
      </c>
      <c r="I221" s="133" t="n">
        <f aca="false">SUMIFS('ANALÍTICA AUXILIARES'!J:J,'ANALÍTICA AUXILIARES'!A:A,"Composição",'ANALÍTICA AUXILIARES'!B:B,$B221)</f>
        <v>17.04</v>
      </c>
      <c r="J221" s="133" t="n">
        <f aca="false">TRUNC(H221*I221,2)</f>
        <v>102.24</v>
      </c>
      <c r="L221" s="68" t="n">
        <f aca="false">IF(AND(A222&lt;&gt;"",A221=""),L220+1,L220)</f>
        <v>20</v>
      </c>
      <c r="M221" s="101" t="n">
        <f aca="false">IF(OR(A221="Insumo",A221="Composição Auxiliar"),J221,"")</f>
        <v>102.24</v>
      </c>
      <c r="N221" s="102" t="n">
        <f aca="false">IF(ISNUMBER(SEARCH("COM ENCARGOS COMPLEMENTARES",D221)),J221,"")</f>
        <v>102.24</v>
      </c>
      <c r="O221" s="102" t="str">
        <f aca="false">IF(N221&lt;&gt;"","",M221)</f>
        <v/>
      </c>
      <c r="P221" s="103" t="str">
        <f aca="false">IF(A221="Composição",A220,"")</f>
        <v/>
      </c>
      <c r="Q221" s="102" t="str">
        <f aca="false">IF(P221&lt;&gt;"",SUMIF(L221:L270,L221,N221:N270),"")</f>
        <v/>
      </c>
      <c r="R221" s="102" t="str">
        <f aca="false">IF(P221&lt;&gt;"",SUMIF(L221:L270,L221,O221:O270),"")</f>
        <v/>
      </c>
    </row>
    <row r="222" customFormat="false" ht="14" hidden="false" customHeight="false" outlineLevel="0" collapsed="false">
      <c r="A222" s="149"/>
      <c r="B222" s="149"/>
      <c r="C222" s="149"/>
      <c r="D222" s="149"/>
      <c r="E222" s="149"/>
      <c r="F222" s="150"/>
      <c r="G222" s="149"/>
      <c r="H222" s="150"/>
      <c r="I222" s="149"/>
      <c r="J222" s="150"/>
      <c r="L222" s="68" t="n">
        <f aca="false">IF(AND(A223&lt;&gt;"",A222=""),L221+1,L221)</f>
        <v>20</v>
      </c>
      <c r="M222" s="101" t="str">
        <f aca="false">IF(OR(A222="Insumo",A222="Composição Auxiliar"),J222,"")</f>
        <v/>
      </c>
      <c r="N222" s="102" t="str">
        <f aca="false">IF(ISNUMBER(SEARCH("COM ENCARGOS COMPLEMENTARES",D222)),J222,"")</f>
        <v/>
      </c>
      <c r="O222" s="102" t="str">
        <f aca="false">IF(N222&lt;&gt;"","",M222)</f>
        <v/>
      </c>
      <c r="P222" s="103" t="str">
        <f aca="false">IF(A222="Composição",A221,"")</f>
        <v/>
      </c>
      <c r="Q222" s="102" t="str">
        <f aca="false">IF(P222&lt;&gt;"",SUMIF(L222:L270,L222,N222:N270),"")</f>
        <v/>
      </c>
      <c r="R222" s="102" t="str">
        <f aca="false">IF(P222&lt;&gt;"",SUMIF(L222:L270,L222,O222:O270),"")</f>
        <v/>
      </c>
    </row>
    <row r="223" customFormat="false" ht="14.25" hidden="false" customHeight="true" outlineLevel="0" collapsed="false">
      <c r="A223" s="149"/>
      <c r="B223" s="149"/>
      <c r="C223" s="149"/>
      <c r="D223" s="149"/>
      <c r="E223" s="149"/>
      <c r="F223" s="150"/>
      <c r="G223" s="149"/>
      <c r="H223" s="151" t="s">
        <v>135</v>
      </c>
      <c r="I223" s="151"/>
      <c r="J223" s="150" t="n">
        <f aca="false">TRUNC(SUMIF(L:L,$L223,M:M)*(1+$J$9),2)</f>
        <v>1757.03</v>
      </c>
      <c r="L223" s="68" t="n">
        <f aca="false">IF(AND(A224&lt;&gt;"",A223=""),L222+1,L222)</f>
        <v>20</v>
      </c>
      <c r="M223" s="101" t="str">
        <f aca="false">IF(OR(A223="Insumo",A223="Composição Auxiliar"),J223,"")</f>
        <v/>
      </c>
      <c r="N223" s="102" t="str">
        <f aca="false">IF(ISNUMBER(SEARCH("COM ENCARGOS COMPLEMENTARES",D223)),J223,"")</f>
        <v/>
      </c>
      <c r="O223" s="102" t="str">
        <f aca="false">IF(N223&lt;&gt;"","",M223)</f>
        <v/>
      </c>
      <c r="P223" s="103" t="str">
        <f aca="false">IF(A223="Composição",A222,"")</f>
        <v/>
      </c>
      <c r="Q223" s="102" t="str">
        <f aca="false">IF(P223&lt;&gt;"",SUMIF(L223:L272,L223,N223:N272),"")</f>
        <v/>
      </c>
      <c r="R223" s="102" t="str">
        <f aca="false">IF(P223&lt;&gt;"",SUMIF(L223:L272,L223,O223:O272),"")</f>
        <v/>
      </c>
    </row>
    <row r="224" customFormat="false" ht="14.5" hidden="false" customHeight="false" outlineLevel="0" collapsed="false">
      <c r="A224" s="152"/>
      <c r="B224" s="152"/>
      <c r="C224" s="152"/>
      <c r="D224" s="152"/>
      <c r="E224" s="152"/>
      <c r="F224" s="152"/>
      <c r="G224" s="152" t="s">
        <v>140</v>
      </c>
      <c r="H224" s="153" t="n">
        <v>1</v>
      </c>
      <c r="I224" s="152" t="s">
        <v>141</v>
      </c>
      <c r="J224" s="154" t="n">
        <f aca="false">TRUNC(J223*H224,2)</f>
        <v>1757.03</v>
      </c>
      <c r="L224" s="68" t="n">
        <f aca="false">IF(AND(A225&lt;&gt;"",A224=""),L223+1,L223)</f>
        <v>20</v>
      </c>
      <c r="M224" s="101" t="str">
        <f aca="false">IF(OR(A224="Insumo",A224="Composição Auxiliar"),J224,"")</f>
        <v/>
      </c>
      <c r="N224" s="102" t="str">
        <f aca="false">IF(ISNUMBER(SEARCH("COM ENCARGOS COMPLEMENTARES",D224)),J224,"")</f>
        <v/>
      </c>
      <c r="O224" s="102" t="str">
        <f aca="false">IF(N224&lt;&gt;"","",M224)</f>
        <v/>
      </c>
      <c r="P224" s="103" t="str">
        <f aca="false">IF(A224="Composição",A223,"")</f>
        <v/>
      </c>
      <c r="Q224" s="102" t="str">
        <f aca="false">IF(P224&lt;&gt;"",SUMIF(L224:L272,L224,N224:N272),"")</f>
        <v/>
      </c>
      <c r="R224" s="102" t="str">
        <f aca="false">IF(P224&lt;&gt;"",SUMIF(L224:L272,L224,O224:O272),"")</f>
        <v/>
      </c>
    </row>
    <row r="225" customFormat="false" ht="14.5" hidden="false" customHeight="false" outlineLevel="0" collapsed="false">
      <c r="A225" s="155"/>
      <c r="B225" s="155"/>
      <c r="C225" s="155"/>
      <c r="D225" s="155"/>
      <c r="E225" s="155"/>
      <c r="F225" s="155"/>
      <c r="G225" s="155"/>
      <c r="H225" s="155"/>
      <c r="I225" s="155"/>
      <c r="J225" s="155"/>
      <c r="L225" s="68" t="n">
        <f aca="false">IF(AND(A226&lt;&gt;"",A225=""),L224+1,L224)</f>
        <v>21</v>
      </c>
      <c r="M225" s="101" t="str">
        <f aca="false">IF(OR(A225="Insumo",A225="Composição Auxiliar"),J225,"")</f>
        <v/>
      </c>
      <c r="N225" s="102" t="str">
        <f aca="false">IF(ISNUMBER(SEARCH("COM ENCARGOS COMPLEMENTARES",D225)),J225,"")</f>
        <v/>
      </c>
      <c r="O225" s="102" t="str">
        <f aca="false">IF(N225&lt;&gt;"","",M225)</f>
        <v/>
      </c>
      <c r="P225" s="103" t="str">
        <f aca="false">IF(A225="Composição",A224,"")</f>
        <v/>
      </c>
      <c r="Q225" s="102" t="str">
        <f aca="false">IF(P225&lt;&gt;"",SUMIF(L225:L274,L225,N225:N274),"")</f>
        <v/>
      </c>
      <c r="R225" s="102" t="str">
        <f aca="false">IF(P225&lt;&gt;"",SUMIF(L225:L274,L225,O225:O274),"")</f>
        <v/>
      </c>
    </row>
    <row r="226" customFormat="false" ht="14" hidden="false" customHeight="false" outlineLevel="0" collapsed="false">
      <c r="A226" s="97" t="s">
        <v>93</v>
      </c>
      <c r="B226" s="97"/>
      <c r="C226" s="97"/>
      <c r="D226" s="97" t="s">
        <v>94</v>
      </c>
      <c r="E226" s="97"/>
      <c r="F226" s="97"/>
      <c r="G226" s="97"/>
      <c r="H226" s="98"/>
      <c r="I226" s="97"/>
      <c r="J226" s="99"/>
      <c r="L226" s="68" t="n">
        <f aca="false">IF(AND(A227&lt;&gt;"",A226=""),L225+1,L225)</f>
        <v>21</v>
      </c>
      <c r="M226" s="101" t="str">
        <f aca="false">IF(OR(A226="Insumo",A226="Composição Auxiliar"),J226,"")</f>
        <v/>
      </c>
      <c r="N226" s="102" t="str">
        <f aca="false">IF(ISNUMBER(SEARCH("COM ENCARGOS COMPLEMENTARES",D226)),J226,"")</f>
        <v/>
      </c>
      <c r="O226" s="102" t="str">
        <f aca="false">IF(N226&lt;&gt;"","",M226)</f>
        <v/>
      </c>
      <c r="P226" s="103" t="str">
        <f aca="false">IF(A226="Composição",A225,"")</f>
        <v/>
      </c>
      <c r="Q226" s="102" t="str">
        <f aca="false">IF(P226&lt;&gt;"",SUMIF(L226:L274,L226,N226:N274),"")</f>
        <v/>
      </c>
      <c r="R226" s="102" t="str">
        <f aca="false">IF(P226&lt;&gt;"",SUMIF(L226:L274,L226,O226:O274),"")</f>
        <v/>
      </c>
    </row>
    <row r="227" customFormat="false" ht="14" hidden="false" customHeight="false" outlineLevel="0" collapsed="false">
      <c r="A227" s="97" t="s">
        <v>95</v>
      </c>
      <c r="B227" s="97"/>
      <c r="C227" s="97"/>
      <c r="D227" s="97" t="s">
        <v>96</v>
      </c>
      <c r="E227" s="97"/>
      <c r="F227" s="97"/>
      <c r="G227" s="97"/>
      <c r="H227" s="98"/>
      <c r="I227" s="97"/>
      <c r="J227" s="99"/>
      <c r="L227" s="68" t="n">
        <f aca="false">IF(AND(A228&lt;&gt;"",A227=""),L226+1,L226)</f>
        <v>21</v>
      </c>
      <c r="M227" s="101" t="str">
        <f aca="false">IF(OR(A227="Insumo",A227="Composição Auxiliar"),J227,"")</f>
        <v/>
      </c>
      <c r="N227" s="102" t="str">
        <f aca="false">IF(ISNUMBER(SEARCH("COM ENCARGOS COMPLEMENTARES",D227)),J227,"")</f>
        <v/>
      </c>
      <c r="O227" s="102" t="str">
        <f aca="false">IF(N227&lt;&gt;"","",M227)</f>
        <v/>
      </c>
      <c r="P227" s="103" t="str">
        <f aca="false">IF(A227="Composição",A226,"")</f>
        <v/>
      </c>
      <c r="Q227" s="102" t="str">
        <f aca="false">IF(P227&lt;&gt;"",SUMIF(L227:L276,L227,N227:N276),"")</f>
        <v/>
      </c>
      <c r="R227" s="102" t="str">
        <f aca="false">IF(P227&lt;&gt;"",SUMIF(L227:L276,L227,O227:O276),"")</f>
        <v/>
      </c>
    </row>
    <row r="228" customFormat="false" ht="14" hidden="false" customHeight="true" outlineLevel="0" collapsed="false">
      <c r="A228" s="118" t="s">
        <v>97</v>
      </c>
      <c r="B228" s="119" t="s">
        <v>115</v>
      </c>
      <c r="C228" s="118" t="s">
        <v>116</v>
      </c>
      <c r="D228" s="118" t="s">
        <v>117</v>
      </c>
      <c r="E228" s="118" t="s">
        <v>118</v>
      </c>
      <c r="F228" s="118"/>
      <c r="G228" s="120" t="s">
        <v>119</v>
      </c>
      <c r="H228" s="119" t="s">
        <v>120</v>
      </c>
      <c r="I228" s="119" t="s">
        <v>130</v>
      </c>
      <c r="J228" s="119" t="s">
        <v>131</v>
      </c>
      <c r="L228" s="68" t="n">
        <f aca="false">IF(AND(A229&lt;&gt;"",A228=""),L227+1,L227)</f>
        <v>21</v>
      </c>
      <c r="M228" s="101" t="str">
        <f aca="false">IF(OR(A228="Insumo",A228="Composição Auxiliar"),J228,"")</f>
        <v/>
      </c>
      <c r="N228" s="102" t="str">
        <f aca="false">IF(ISNUMBER(SEARCH("COM ENCARGOS COMPLEMENTARES",D228)),J228,"")</f>
        <v/>
      </c>
      <c r="O228" s="102" t="str">
        <f aca="false">IF(N228&lt;&gt;"","",M228)</f>
        <v/>
      </c>
      <c r="P228" s="103" t="str">
        <f aca="false">IF(A228="Composição",A227,"")</f>
        <v/>
      </c>
      <c r="Q228" s="102" t="str">
        <f aca="false">IF(P228&lt;&gt;"",SUMIF(L228:L276,L228,N228:N276),"")</f>
        <v/>
      </c>
      <c r="R228" s="102" t="str">
        <f aca="false">IF(P228&lt;&gt;"",SUMIF(L228:L276,L228,O228:O276),"")</f>
        <v/>
      </c>
    </row>
    <row r="229" customFormat="false" ht="14.25" hidden="false" customHeight="true" outlineLevel="0" collapsed="false">
      <c r="A229" s="122" t="s">
        <v>121</v>
      </c>
      <c r="B229" s="55" t="s">
        <v>98</v>
      </c>
      <c r="C229" s="122" t="s">
        <v>122</v>
      </c>
      <c r="D229" s="122" t="s">
        <v>172</v>
      </c>
      <c r="E229" s="122" t="s">
        <v>124</v>
      </c>
      <c r="F229" s="122"/>
      <c r="G229" s="123" t="s">
        <v>125</v>
      </c>
      <c r="H229" s="124" t="n">
        <v>1</v>
      </c>
      <c r="I229" s="125" t="n">
        <f aca="false">SUMIF(L:L,$L229,M:M)</f>
        <v>111.28</v>
      </c>
      <c r="J229" s="125" t="n">
        <f aca="false">TRUNC(H229*I229,2)</f>
        <v>111.28</v>
      </c>
      <c r="L229" s="68" t="n">
        <f aca="false">IF(AND(A230&lt;&gt;"",A229=""),L228+1,L228)</f>
        <v>21</v>
      </c>
      <c r="M229" s="101" t="str">
        <f aca="false">IF(OR(A229="Insumo",A229="Composição Auxiliar"),J229,"")</f>
        <v/>
      </c>
      <c r="N229" s="102" t="n">
        <f aca="false">IF(ISNUMBER(SEARCH("COM ENCARGOS COMPLEMENTARES",D229)),J229,"")</f>
        <v>111.28</v>
      </c>
      <c r="O229" s="102" t="str">
        <f aca="false">IF(N229&lt;&gt;"","",M229)</f>
        <v/>
      </c>
      <c r="P229" s="103" t="str">
        <f aca="false">IF(A229="Composição",A228,"")</f>
        <v> 3.1.1 </v>
      </c>
      <c r="Q229" s="102" t="n">
        <f aca="false">IF(P229&lt;&gt;"",SUMIF(L229:L278,L229,N229:N278),"")</f>
        <v>111.28</v>
      </c>
      <c r="R229" s="102" t="n">
        <f aca="false">IF(P229&lt;&gt;"",SUMIF(L229:L278,L229,O229:O278),"")</f>
        <v>111.28</v>
      </c>
    </row>
    <row r="230" customFormat="false" ht="25" hidden="false" customHeight="true" outlineLevel="0" collapsed="false">
      <c r="A230" s="129" t="s">
        <v>126</v>
      </c>
      <c r="B230" s="130" t="s">
        <v>241</v>
      </c>
      <c r="C230" s="129" t="s">
        <v>122</v>
      </c>
      <c r="D230" s="129" t="s">
        <v>242</v>
      </c>
      <c r="E230" s="129" t="s">
        <v>124</v>
      </c>
      <c r="F230" s="129"/>
      <c r="G230" s="131" t="s">
        <v>125</v>
      </c>
      <c r="H230" s="132" t="n">
        <v>1</v>
      </c>
      <c r="I230" s="133" t="n">
        <f aca="false">SUMIFS('ANALÍTICA AUXILIARES'!J:J,'ANALÍTICA AUXILIARES'!A:A,"Composição",'ANALÍTICA AUXILIARES'!B:B,$B230)</f>
        <v>2.94</v>
      </c>
      <c r="J230" s="133" t="n">
        <f aca="false">TRUNC(H230*I230,2)</f>
        <v>2.94</v>
      </c>
      <c r="L230" s="68" t="n">
        <f aca="false">IF(AND(A231&lt;&gt;"",A230=""),L229+1,L229)</f>
        <v>21</v>
      </c>
      <c r="M230" s="101" t="n">
        <f aca="false">IF(OR(A230="Insumo",A230="Composição Auxiliar"),J230,"")</f>
        <v>2.94</v>
      </c>
      <c r="N230" s="102" t="str">
        <f aca="false">IF(ISNUMBER(SEARCH("COM ENCARGOS COMPLEMENTARES",D230)),J230,"")</f>
        <v/>
      </c>
      <c r="O230" s="102" t="n">
        <f aca="false">IF(N230&lt;&gt;"","",M230)</f>
        <v>2.94</v>
      </c>
      <c r="P230" s="103" t="str">
        <f aca="false">IF(A230="Composição",A229,"")</f>
        <v/>
      </c>
      <c r="Q230" s="102" t="str">
        <f aca="false">IF(P230&lt;&gt;"",SUMIF(L230:L278,L230,N230:N278),"")</f>
        <v/>
      </c>
      <c r="R230" s="102" t="str">
        <f aca="false">IF(P230&lt;&gt;"",SUMIF(L230:L278,L230,O230:O278),"")</f>
        <v/>
      </c>
    </row>
    <row r="231" customFormat="false" ht="14" hidden="false" customHeight="false" outlineLevel="0" collapsed="false">
      <c r="A231" s="143" t="s">
        <v>128</v>
      </c>
      <c r="B231" s="144" t="s">
        <v>243</v>
      </c>
      <c r="C231" s="143" t="str">
        <f aca="false">VLOOKUP(B231,INSUMOS!$A:$I,2,0)</f>
        <v>SINAPI</v>
      </c>
      <c r="D231" s="143" t="str">
        <f aca="false">VLOOKUP(B231,INSUMOS!$A:$I,3,0)</f>
        <v>ENGENHEIRO ELETRICISTA</v>
      </c>
      <c r="E231" s="143" t="str">
        <f aca="false">VLOOKUP(B231,INSUMOS!$A:$I,4,0)</f>
        <v>Mão de Obra</v>
      </c>
      <c r="F231" s="143"/>
      <c r="G231" s="145" t="str">
        <f aca="false">VLOOKUP(B231,INSUMOS!$A:$I,5,0)</f>
        <v>H</v>
      </c>
      <c r="H231" s="146" t="n">
        <v>1</v>
      </c>
      <c r="I231" s="147" t="n">
        <f aca="false">VLOOKUP(B231,INSUMOS!$A:$I,8,0)</f>
        <v>106.8</v>
      </c>
      <c r="J231" s="147" t="n">
        <f aca="false">TRUNC(H231*I231,2)</f>
        <v>106.8</v>
      </c>
      <c r="L231" s="68" t="n">
        <f aca="false">IF(AND(A232&lt;&gt;"",A231=""),L230+1,L230)</f>
        <v>21</v>
      </c>
      <c r="M231" s="101" t="n">
        <f aca="false">IF(OR(A231="Insumo",A231="Composição Auxiliar"),J231,"")</f>
        <v>106.8</v>
      </c>
      <c r="N231" s="102" t="str">
        <f aca="false">IF(ISNUMBER(SEARCH("COM ENCARGOS COMPLEMENTARES",D231)),J231,"")</f>
        <v/>
      </c>
      <c r="O231" s="102" t="n">
        <f aca="false">IF(N231&lt;&gt;"","",M231)</f>
        <v>106.8</v>
      </c>
      <c r="P231" s="103" t="str">
        <f aca="false">IF(A231="Composição",A230,"")</f>
        <v/>
      </c>
      <c r="Q231" s="102" t="str">
        <f aca="false">IF(P231&lt;&gt;"",SUMIF(L231:L280,L231,N231:N280),"")</f>
        <v/>
      </c>
      <c r="R231" s="102" t="str">
        <f aca="false">IF(P231&lt;&gt;"",SUMIF(L231:L280,L231,O231:O280),"")</f>
        <v/>
      </c>
    </row>
    <row r="232" customFormat="false" ht="25" hidden="false" customHeight="false" outlineLevel="0" collapsed="false">
      <c r="A232" s="143" t="s">
        <v>128</v>
      </c>
      <c r="B232" s="144" t="s">
        <v>244</v>
      </c>
      <c r="C232" s="143" t="str">
        <f aca="false">VLOOKUP(B232,INSUMOS!$A:$I,2,0)</f>
        <v>SINAPI</v>
      </c>
      <c r="D232" s="143" t="str">
        <f aca="false">VLOOKUP(B232,INSUMOS!$A:$I,3,0)</f>
        <v>EPI - FAMILIA ENGENHEIRO CIVIL - HORISTA (ENCARGOS COMPLEMENTARES - COLETADO CAIXA)</v>
      </c>
      <c r="E232" s="143" t="str">
        <f aca="false">VLOOKUP(B232,INSUMOS!$A:$I,4,0)</f>
        <v>Equipamento</v>
      </c>
      <c r="F232" s="143"/>
      <c r="G232" s="145" t="str">
        <f aca="false">VLOOKUP(B232,INSUMOS!$A:$I,5,0)</f>
        <v>H</v>
      </c>
      <c r="H232" s="146" t="n">
        <v>1</v>
      </c>
      <c r="I232" s="147" t="n">
        <f aca="false">VLOOKUP(B232,INSUMOS!$A:$I,8,0)</f>
        <v>0.66</v>
      </c>
      <c r="J232" s="147" t="n">
        <f aca="false">TRUNC(H232*I232,2)</f>
        <v>0.66</v>
      </c>
      <c r="L232" s="68" t="n">
        <f aca="false">IF(AND(A233&lt;&gt;"",A232=""),L231+1,L231)</f>
        <v>21</v>
      </c>
      <c r="M232" s="101" t="n">
        <f aca="false">IF(OR(A232="Insumo",A232="Composição Auxiliar"),J232,"")</f>
        <v>0.66</v>
      </c>
      <c r="N232" s="102" t="str">
        <f aca="false">IF(ISNUMBER(SEARCH("COM ENCARGOS COMPLEMENTARES",D232)),J232,"")</f>
        <v/>
      </c>
      <c r="O232" s="102" t="n">
        <f aca="false">IF(N232&lt;&gt;"","",M232)</f>
        <v>0.66</v>
      </c>
      <c r="P232" s="103" t="str">
        <f aca="false">IF(A232="Composição",A231,"")</f>
        <v/>
      </c>
      <c r="Q232" s="102" t="str">
        <f aca="false">IF(P232&lt;&gt;"",SUMIF(L232:L280,L232,N232:N280),"")</f>
        <v/>
      </c>
      <c r="R232" s="102" t="str">
        <f aca="false">IF(P232&lt;&gt;"",SUMIF(L232:L280,L232,O232:O280),"")</f>
        <v/>
      </c>
    </row>
    <row r="233" customFormat="false" ht="14" hidden="false" customHeight="false" outlineLevel="0" collapsed="false">
      <c r="A233" s="143" t="s">
        <v>128</v>
      </c>
      <c r="B233" s="144" t="s">
        <v>245</v>
      </c>
      <c r="C233" s="143" t="str">
        <f aca="false">VLOOKUP(B233,INSUMOS!$A:$I,2,0)</f>
        <v>SINAPI</v>
      </c>
      <c r="D233" s="143" t="str">
        <f aca="false">VLOOKUP(B233,INSUMOS!$A:$I,3,0)</f>
        <v>EXAMES - HORISTA (COLETADO CAIXA)</v>
      </c>
      <c r="E233" s="143" t="str">
        <f aca="false">VLOOKUP(B233,INSUMOS!$A:$I,4,0)</f>
        <v>Outros</v>
      </c>
      <c r="F233" s="143"/>
      <c r="G233" s="145" t="str">
        <f aca="false">VLOOKUP(B233,INSUMOS!$A:$I,5,0)</f>
        <v>H</v>
      </c>
      <c r="H233" s="146" t="n">
        <v>1</v>
      </c>
      <c r="I233" s="147" t="n">
        <f aca="false">VLOOKUP(B233,INSUMOS!$A:$I,8,0)</f>
        <v>0.81</v>
      </c>
      <c r="J233" s="147" t="n">
        <f aca="false">TRUNC(H233*I233,2)</f>
        <v>0.81</v>
      </c>
      <c r="L233" s="68" t="n">
        <f aca="false">IF(AND(A234&lt;&gt;"",A233=""),L232+1,L232)</f>
        <v>21</v>
      </c>
      <c r="M233" s="101" t="n">
        <f aca="false">IF(OR(A233="Insumo",A233="Composição Auxiliar"),J233,"")</f>
        <v>0.81</v>
      </c>
      <c r="N233" s="102" t="str">
        <f aca="false">IF(ISNUMBER(SEARCH("COM ENCARGOS COMPLEMENTARES",D233)),J233,"")</f>
        <v/>
      </c>
      <c r="O233" s="102" t="n">
        <f aca="false">IF(N233&lt;&gt;"","",M233)</f>
        <v>0.81</v>
      </c>
      <c r="P233" s="103" t="str">
        <f aca="false">IF(A233="Composição",A232,"")</f>
        <v/>
      </c>
      <c r="Q233" s="102" t="str">
        <f aca="false">IF(P233&lt;&gt;"",SUMIF(L233:L282,L233,N233:N282),"")</f>
        <v/>
      </c>
      <c r="R233" s="102" t="str">
        <f aca="false">IF(P233&lt;&gt;"",SUMIF(L233:L282,L233,O233:O282),"")</f>
        <v/>
      </c>
    </row>
    <row r="234" customFormat="false" ht="25" hidden="false" customHeight="false" outlineLevel="0" collapsed="false">
      <c r="A234" s="143" t="s">
        <v>128</v>
      </c>
      <c r="B234" s="144" t="s">
        <v>246</v>
      </c>
      <c r="C234" s="143" t="str">
        <f aca="false">VLOOKUP(B234,INSUMOS!$A:$I,2,0)</f>
        <v>SINAPI</v>
      </c>
      <c r="D234" s="143" t="str">
        <f aca="false">VLOOKUP(B234,INSUMOS!$A:$I,3,0)</f>
        <v>FERRAMENTAS - FAMILIA ENGENHEIRO CIVIL - HORISTA (ENCARGOS COMPLEMENTARES - COLETADO CAIXA)</v>
      </c>
      <c r="E234" s="143" t="str">
        <f aca="false">VLOOKUP(B234,INSUMOS!$A:$I,4,0)</f>
        <v>Equipamento</v>
      </c>
      <c r="F234" s="143"/>
      <c r="G234" s="145" t="str">
        <f aca="false">VLOOKUP(B234,INSUMOS!$A:$I,5,0)</f>
        <v>H</v>
      </c>
      <c r="H234" s="146" t="n">
        <v>1</v>
      </c>
      <c r="I234" s="147" t="n">
        <f aca="false">VLOOKUP(B234,INSUMOS!$A:$I,8,0)</f>
        <v>0.01</v>
      </c>
      <c r="J234" s="147" t="n">
        <f aca="false">TRUNC(H234*I234,2)</f>
        <v>0.01</v>
      </c>
      <c r="L234" s="68" t="n">
        <f aca="false">IF(AND(A235&lt;&gt;"",A234=""),L233+1,L233)</f>
        <v>21</v>
      </c>
      <c r="M234" s="101" t="n">
        <f aca="false">IF(OR(A234="Insumo",A234="Composição Auxiliar"),J234,"")</f>
        <v>0.01</v>
      </c>
      <c r="N234" s="102" t="str">
        <f aca="false">IF(ISNUMBER(SEARCH("COM ENCARGOS COMPLEMENTARES",D234)),J234,"")</f>
        <v/>
      </c>
      <c r="O234" s="102" t="n">
        <f aca="false">IF(N234&lt;&gt;"","",M234)</f>
        <v>0.01</v>
      </c>
      <c r="P234" s="103" t="str">
        <f aca="false">IF(A234="Composição",A233,"")</f>
        <v/>
      </c>
      <c r="Q234" s="102" t="str">
        <f aca="false">IF(P234&lt;&gt;"",SUMIF(L234:L282,L234,N234:N282),"")</f>
        <v/>
      </c>
      <c r="R234" s="102" t="str">
        <f aca="false">IF(P234&lt;&gt;"",SUMIF(L234:L282,L234,O234:O282),"")</f>
        <v/>
      </c>
    </row>
    <row r="235" customFormat="false" ht="14" hidden="false" customHeight="false" outlineLevel="0" collapsed="false">
      <c r="A235" s="143" t="s">
        <v>128</v>
      </c>
      <c r="B235" s="144" t="s">
        <v>247</v>
      </c>
      <c r="C235" s="143" t="str">
        <f aca="false">VLOOKUP(B235,INSUMOS!$A:$I,2,0)</f>
        <v>SINAPI</v>
      </c>
      <c r="D235" s="143" t="str">
        <f aca="false">VLOOKUP(B235,INSUMOS!$A:$I,3,0)</f>
        <v>SEGURO - HORISTA (COLETADO CAIXA)</v>
      </c>
      <c r="E235" s="143" t="str">
        <f aca="false">VLOOKUP(B235,INSUMOS!$A:$I,4,0)</f>
        <v>Taxas</v>
      </c>
      <c r="F235" s="143"/>
      <c r="G235" s="145" t="str">
        <f aca="false">VLOOKUP(B235,INSUMOS!$A:$I,5,0)</f>
        <v>H</v>
      </c>
      <c r="H235" s="146" t="n">
        <v>1</v>
      </c>
      <c r="I235" s="147" t="n">
        <f aca="false">VLOOKUP(B235,INSUMOS!$A:$I,8,0)</f>
        <v>0.06</v>
      </c>
      <c r="J235" s="147" t="n">
        <f aca="false">TRUNC(H235*I235,2)</f>
        <v>0.06</v>
      </c>
      <c r="L235" s="68" t="n">
        <f aca="false">IF(AND(A236&lt;&gt;"",A235=""),L234+1,L234)</f>
        <v>21</v>
      </c>
      <c r="M235" s="101" t="n">
        <f aca="false">IF(OR(A235="Insumo",A235="Composição Auxiliar"),J235,"")</f>
        <v>0.06</v>
      </c>
      <c r="N235" s="102" t="str">
        <f aca="false">IF(ISNUMBER(SEARCH("COM ENCARGOS COMPLEMENTARES",D235)),J235,"")</f>
        <v/>
      </c>
      <c r="O235" s="102" t="n">
        <f aca="false">IF(N235&lt;&gt;"","",M235)</f>
        <v>0.06</v>
      </c>
      <c r="P235" s="103" t="str">
        <f aca="false">IF(A235="Composição",A234,"")</f>
        <v/>
      </c>
      <c r="Q235" s="102" t="str">
        <f aca="false">IF(P235&lt;&gt;"",SUMIF(L235:L284,L235,N235:N284),"")</f>
        <v/>
      </c>
      <c r="R235" s="102" t="str">
        <f aca="false">IF(P235&lt;&gt;"",SUMIF(L235:L284,L235,O235:O284),"")</f>
        <v/>
      </c>
    </row>
    <row r="236" customFormat="false" ht="14" hidden="false" customHeight="false" outlineLevel="0" collapsed="false">
      <c r="A236" s="149"/>
      <c r="B236" s="149"/>
      <c r="C236" s="149"/>
      <c r="D236" s="149"/>
      <c r="E236" s="149"/>
      <c r="F236" s="150"/>
      <c r="G236" s="149"/>
      <c r="H236" s="150"/>
      <c r="I236" s="149"/>
      <c r="J236" s="150"/>
      <c r="L236" s="68" t="n">
        <f aca="false">IF(AND(A237&lt;&gt;"",A236=""),L235+1,L235)</f>
        <v>21</v>
      </c>
      <c r="M236" s="101" t="str">
        <f aca="false">IF(OR(A236="Insumo",A236="Composição Auxiliar"),J236,"")</f>
        <v/>
      </c>
      <c r="N236" s="102" t="str">
        <f aca="false">IF(ISNUMBER(SEARCH("COM ENCARGOS COMPLEMENTARES",D236)),J236,"")</f>
        <v/>
      </c>
      <c r="O236" s="102" t="str">
        <f aca="false">IF(N236&lt;&gt;"","",M236)</f>
        <v/>
      </c>
      <c r="P236" s="103" t="str">
        <f aca="false">IF(A236="Composição",A235,"")</f>
        <v/>
      </c>
      <c r="Q236" s="102" t="str">
        <f aca="false">IF(P236&lt;&gt;"",SUMIF(L236:L284,L236,N236:N284),"")</f>
        <v/>
      </c>
      <c r="R236" s="102" t="str">
        <f aca="false">IF(P236&lt;&gt;"",SUMIF(L236:L284,L236,O236:O284),"")</f>
        <v/>
      </c>
    </row>
    <row r="237" customFormat="false" ht="25.5" hidden="false" customHeight="true" outlineLevel="0" collapsed="false">
      <c r="A237" s="149"/>
      <c r="B237" s="149"/>
      <c r="C237" s="149"/>
      <c r="D237" s="149"/>
      <c r="E237" s="149"/>
      <c r="F237" s="150"/>
      <c r="G237" s="149"/>
      <c r="H237" s="151" t="s">
        <v>135</v>
      </c>
      <c r="I237" s="151"/>
      <c r="J237" s="150" t="n">
        <f aca="false">TRUNC(SUMIF(L:L,$L237,M:M)*(1+$J$9),2)</f>
        <v>136</v>
      </c>
      <c r="L237" s="68" t="n">
        <f aca="false">IF(AND(A238&lt;&gt;"",A237=""),L236+1,L236)</f>
        <v>21</v>
      </c>
      <c r="M237" s="101" t="str">
        <f aca="false">IF(OR(A237="Insumo",A237="Composição Auxiliar"),J237,"")</f>
        <v/>
      </c>
      <c r="N237" s="102" t="str">
        <f aca="false">IF(ISNUMBER(SEARCH("COM ENCARGOS COMPLEMENTARES",D237)),J237,"")</f>
        <v/>
      </c>
      <c r="O237" s="102" t="str">
        <f aca="false">IF(N237&lt;&gt;"","",M237)</f>
        <v/>
      </c>
      <c r="P237" s="103" t="str">
        <f aca="false">IF(A237="Composição",A236,"")</f>
        <v/>
      </c>
      <c r="Q237" s="102" t="str">
        <f aca="false">IF(P237&lt;&gt;"",SUMIF(L237:L286,L237,N237:N286),"")</f>
        <v/>
      </c>
      <c r="R237" s="102" t="str">
        <f aca="false">IF(P237&lt;&gt;"",SUMIF(L237:L286,L237,O237:O286),"")</f>
        <v/>
      </c>
    </row>
    <row r="238" customFormat="false" ht="14.25" hidden="false" customHeight="true" outlineLevel="0" collapsed="false">
      <c r="A238" s="152"/>
      <c r="B238" s="152"/>
      <c r="C238" s="152"/>
      <c r="D238" s="152"/>
      <c r="E238" s="152"/>
      <c r="F238" s="152"/>
      <c r="G238" s="152" t="s">
        <v>140</v>
      </c>
      <c r="H238" s="153" t="n">
        <v>80</v>
      </c>
      <c r="I238" s="152" t="s">
        <v>141</v>
      </c>
      <c r="J238" s="154" t="n">
        <f aca="false">TRUNC(J237*H238,2)</f>
        <v>10880</v>
      </c>
      <c r="L238" s="68" t="n">
        <f aca="false">IF(AND(A239&lt;&gt;"",A238=""),L237+1,L237)</f>
        <v>21</v>
      </c>
      <c r="M238" s="101" t="str">
        <f aca="false">IF(OR(A238="Insumo",A238="Composição Auxiliar"),J238,"")</f>
        <v/>
      </c>
      <c r="N238" s="102" t="str">
        <f aca="false">IF(ISNUMBER(SEARCH("COM ENCARGOS COMPLEMENTARES",D238)),J238,"")</f>
        <v/>
      </c>
      <c r="O238" s="102" t="str">
        <f aca="false">IF(N238&lt;&gt;"","",M238)</f>
        <v/>
      </c>
      <c r="P238" s="103" t="str">
        <f aca="false">IF(A238="Composição",A237,"")</f>
        <v/>
      </c>
      <c r="Q238" s="102" t="str">
        <f aca="false">IF(P238&lt;&gt;"",SUMIF(L238:L286,L238,N238:N286),"")</f>
        <v/>
      </c>
      <c r="R238" s="102" t="str">
        <f aca="false">IF(P238&lt;&gt;"",SUMIF(L238:L286,L238,O238:O286),"")</f>
        <v/>
      </c>
    </row>
    <row r="239" customFormat="false" ht="14.5" hidden="false" customHeight="false" outlineLevel="0" collapsed="false">
      <c r="A239" s="155"/>
      <c r="B239" s="155"/>
      <c r="C239" s="155"/>
      <c r="D239" s="155"/>
      <c r="E239" s="155"/>
      <c r="F239" s="155"/>
      <c r="G239" s="155"/>
      <c r="H239" s="155"/>
      <c r="I239" s="155"/>
      <c r="J239" s="155"/>
      <c r="L239" s="68" t="e">
        <f aca="false">IF(AND(#REF!&lt;&gt;"",A239=""),L238+1,L238)</f>
        <v>#REF!</v>
      </c>
      <c r="M239" s="101" t="str">
        <f aca="false">IF(OR(A239="Insumo",A239="Composição Auxiliar"),J239,"")</f>
        <v/>
      </c>
      <c r="N239" s="102" t="str">
        <f aca="false">IF(ISNUMBER(SEARCH("COM ENCARGOS COMPLEMENTARES",D239)),J239,"")</f>
        <v/>
      </c>
      <c r="O239" s="102" t="str">
        <f aca="false">IF(N239&lt;&gt;"","",M239)</f>
        <v/>
      </c>
      <c r="P239" s="103" t="str">
        <f aca="false">IF(A239="Composição",A238,"")</f>
        <v/>
      </c>
      <c r="Q239" s="102" t="str">
        <f aca="false">IF(P239&lt;&gt;"",SUMIF(L239:L288,L239,N239:N288),"")</f>
        <v/>
      </c>
      <c r="R239" s="102" t="str">
        <f aca="false">IF(P239&lt;&gt;"",SUMIF(L239:L288,L239,O239:O288),"")</f>
        <v/>
      </c>
    </row>
    <row r="240" customFormat="false" ht="14" hidden="false" customHeight="false" outlineLevel="0" collapsed="false">
      <c r="A240" s="156"/>
      <c r="B240" s="156"/>
      <c r="C240" s="156"/>
      <c r="D240" s="156"/>
      <c r="E240" s="156"/>
      <c r="F240" s="156"/>
      <c r="G240" s="156"/>
      <c r="H240" s="156"/>
      <c r="I240" s="156"/>
      <c r="J240" s="156"/>
    </row>
  </sheetData>
  <sheetProtection sheet="true" objects="true" scenarios="true"/>
  <protectedRanges>
    <protectedRange name="Intervalo1" sqref="H:H"/>
  </protectedRanges>
  <mergeCells count="191">
    <mergeCell ref="A1:J1"/>
    <mergeCell ref="P1:Q1"/>
    <mergeCell ref="W1:X1"/>
    <mergeCell ref="A2:J2"/>
    <mergeCell ref="A3:J3"/>
    <mergeCell ref="P3:Q3"/>
    <mergeCell ref="W3:X3"/>
    <mergeCell ref="A4:J4"/>
    <mergeCell ref="A5:J5"/>
    <mergeCell ref="P5:Q5"/>
    <mergeCell ref="W5:X5"/>
    <mergeCell ref="A6:J6"/>
    <mergeCell ref="E8:I8"/>
    <mergeCell ref="E9:I9"/>
    <mergeCell ref="E10:I10"/>
    <mergeCell ref="A11:J11"/>
    <mergeCell ref="E12:F12"/>
    <mergeCell ref="X12:Y12"/>
    <mergeCell ref="A13:J13"/>
    <mergeCell ref="X13:Y13"/>
    <mergeCell ref="F14:G14"/>
    <mergeCell ref="X14:Y14"/>
    <mergeCell ref="F15:G15"/>
    <mergeCell ref="X15:Y15"/>
    <mergeCell ref="E16:F16"/>
    <mergeCell ref="X16:Y16"/>
    <mergeCell ref="E17:F17"/>
    <mergeCell ref="U17:V17"/>
    <mergeCell ref="X17:Y17"/>
    <mergeCell ref="E18:F18"/>
    <mergeCell ref="X18:Y18"/>
    <mergeCell ref="E19:F19"/>
    <mergeCell ref="X19:Y19"/>
    <mergeCell ref="E20:F20"/>
    <mergeCell ref="E21:F21"/>
    <mergeCell ref="U21:V21"/>
    <mergeCell ref="E22:F22"/>
    <mergeCell ref="E23:F23"/>
    <mergeCell ref="E24:F24"/>
    <mergeCell ref="H26:I26"/>
    <mergeCell ref="F29:G29"/>
    <mergeCell ref="E30:F30"/>
    <mergeCell ref="E31:F31"/>
    <mergeCell ref="E32:F32"/>
    <mergeCell ref="H34:I34"/>
    <mergeCell ref="E37:F37"/>
    <mergeCell ref="E38:F38"/>
    <mergeCell ref="E39:F39"/>
    <mergeCell ref="H41:I41"/>
    <mergeCell ref="F44:G44"/>
    <mergeCell ref="E45:F45"/>
    <mergeCell ref="E46:F46"/>
    <mergeCell ref="E47:F47"/>
    <mergeCell ref="E48:F48"/>
    <mergeCell ref="E49:F49"/>
    <mergeCell ref="E50:F50"/>
    <mergeCell ref="H52:I52"/>
    <mergeCell ref="F55:G55"/>
    <mergeCell ref="F56:G56"/>
    <mergeCell ref="E57:F57"/>
    <mergeCell ref="E58:F58"/>
    <mergeCell ref="E59:F59"/>
    <mergeCell ref="E60:F60"/>
    <mergeCell ref="E61:F61"/>
    <mergeCell ref="E62:F62"/>
    <mergeCell ref="H64:I64"/>
    <mergeCell ref="F67:G67"/>
    <mergeCell ref="E68:F68"/>
    <mergeCell ref="E69:F69"/>
    <mergeCell ref="E70:F70"/>
    <mergeCell ref="E71:F71"/>
    <mergeCell ref="E72:F72"/>
    <mergeCell ref="H74:I74"/>
    <mergeCell ref="E77:F77"/>
    <mergeCell ref="E78:F78"/>
    <mergeCell ref="E79:F79"/>
    <mergeCell ref="E80:F80"/>
    <mergeCell ref="E81:F81"/>
    <mergeCell ref="H83:I83"/>
    <mergeCell ref="E86:F86"/>
    <mergeCell ref="E87:F87"/>
    <mergeCell ref="E88:F88"/>
    <mergeCell ref="E89:F89"/>
    <mergeCell ref="E90:F90"/>
    <mergeCell ref="E91:F91"/>
    <mergeCell ref="H93:I93"/>
    <mergeCell ref="F96:G96"/>
    <mergeCell ref="E97:F97"/>
    <mergeCell ref="E98:F98"/>
    <mergeCell ref="E99:F99"/>
    <mergeCell ref="E100:F100"/>
    <mergeCell ref="E101:F101"/>
    <mergeCell ref="H103:I103"/>
    <mergeCell ref="E106:F106"/>
    <mergeCell ref="E107:F107"/>
    <mergeCell ref="E108:F108"/>
    <mergeCell ref="E109:F109"/>
    <mergeCell ref="E110:F110"/>
    <mergeCell ref="H112:I112"/>
    <mergeCell ref="E115:F115"/>
    <mergeCell ref="E116:F116"/>
    <mergeCell ref="E117:F117"/>
    <mergeCell ref="E118:F118"/>
    <mergeCell ref="E119:F119"/>
    <mergeCell ref="H121:I121"/>
    <mergeCell ref="E124:F124"/>
    <mergeCell ref="E125:F125"/>
    <mergeCell ref="E126:F126"/>
    <mergeCell ref="E127:F127"/>
    <mergeCell ref="E128:F128"/>
    <mergeCell ref="E129:F129"/>
    <mergeCell ref="E130:F130"/>
    <mergeCell ref="E131:F131"/>
    <mergeCell ref="E132:F132"/>
    <mergeCell ref="E133:F133"/>
    <mergeCell ref="E134:F134"/>
    <mergeCell ref="H136:I136"/>
    <mergeCell ref="E139:F139"/>
    <mergeCell ref="E140:F140"/>
    <mergeCell ref="E141:F141"/>
    <mergeCell ref="E142:F142"/>
    <mergeCell ref="E143:F143"/>
    <mergeCell ref="E144:F144"/>
    <mergeCell ref="H146:I146"/>
    <mergeCell ref="F149:G149"/>
    <mergeCell ref="E150:F150"/>
    <mergeCell ref="E151:F151"/>
    <mergeCell ref="E152:F152"/>
    <mergeCell ref="E153:F153"/>
    <mergeCell ref="E154:F154"/>
    <mergeCell ref="E155:F155"/>
    <mergeCell ref="E156:F156"/>
    <mergeCell ref="E157:F157"/>
    <mergeCell ref="E158:F158"/>
    <mergeCell ref="E159:F159"/>
    <mergeCell ref="H161:I161"/>
    <mergeCell ref="E164:F164"/>
    <mergeCell ref="E165:F165"/>
    <mergeCell ref="E166:F166"/>
    <mergeCell ref="E167:F167"/>
    <mergeCell ref="E168:F168"/>
    <mergeCell ref="H170:I170"/>
    <mergeCell ref="F173:G173"/>
    <mergeCell ref="E174:F174"/>
    <mergeCell ref="E175:F175"/>
    <mergeCell ref="E176:F176"/>
    <mergeCell ref="E177:F177"/>
    <mergeCell ref="E178:F178"/>
    <mergeCell ref="E179:F179"/>
    <mergeCell ref="E180:F180"/>
    <mergeCell ref="E181:F181"/>
    <mergeCell ref="E182:F182"/>
    <mergeCell ref="H184:I184"/>
    <mergeCell ref="E187:F187"/>
    <mergeCell ref="E188:F188"/>
    <mergeCell ref="E189:F189"/>
    <mergeCell ref="E190:F190"/>
    <mergeCell ref="E191:F191"/>
    <mergeCell ref="E192:F192"/>
    <mergeCell ref="H194:I194"/>
    <mergeCell ref="F197:G197"/>
    <mergeCell ref="E198:F198"/>
    <mergeCell ref="E199:F199"/>
    <mergeCell ref="E200:F200"/>
    <mergeCell ref="E201:F201"/>
    <mergeCell ref="E202:F202"/>
    <mergeCell ref="E203:F203"/>
    <mergeCell ref="H205:I205"/>
    <mergeCell ref="F208:G208"/>
    <mergeCell ref="E209:F209"/>
    <mergeCell ref="E210:F210"/>
    <mergeCell ref="E211:F211"/>
    <mergeCell ref="E212:F212"/>
    <mergeCell ref="H214:I214"/>
    <mergeCell ref="F217:G217"/>
    <mergeCell ref="E218:F218"/>
    <mergeCell ref="E219:F219"/>
    <mergeCell ref="E220:F220"/>
    <mergeCell ref="E221:F221"/>
    <mergeCell ref="H223:I223"/>
    <mergeCell ref="F226:G226"/>
    <mergeCell ref="F227:G227"/>
    <mergeCell ref="E228:F228"/>
    <mergeCell ref="E229:F229"/>
    <mergeCell ref="E230:F230"/>
    <mergeCell ref="E231:F231"/>
    <mergeCell ref="E232:F232"/>
    <mergeCell ref="E233:F233"/>
    <mergeCell ref="E234:F234"/>
    <mergeCell ref="E235:F235"/>
    <mergeCell ref="H237:I237"/>
  </mergeCells>
  <conditionalFormatting sqref="P1">
    <cfRule type="dataBar" priority="2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{13A75D46-E9AE-43BE-981B-9D8F9B40EB17}</x14:id>
        </ext>
      </extLst>
    </cfRule>
  </conditionalFormatting>
  <conditionalFormatting sqref="P3">
    <cfRule type="dataBar" priority="3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{A3903AA2-93F0-474C-8AD6-5151A5EE891E}</x14:id>
        </ext>
      </extLst>
    </cfRule>
  </conditionalFormatting>
  <conditionalFormatting sqref="P5">
    <cfRule type="dataBar" priority="4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{50FB4A61-627A-4EFE-8ACA-DA5C3233FFDF}</x14:id>
        </ext>
      </extLst>
    </cfRule>
  </conditionalFormatting>
  <conditionalFormatting sqref="W1">
    <cfRule type="dataBar" priority="5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{76B07289-7056-427E-845D-14E28197657B}</x14:id>
        </ext>
      </extLst>
    </cfRule>
  </conditionalFormatting>
  <conditionalFormatting sqref="W3">
    <cfRule type="dataBar" priority="6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{CAC8BE60-3510-4CAF-8CE9-307E42641E8D}</x14:id>
        </ext>
      </extLst>
    </cfRule>
  </conditionalFormatting>
  <conditionalFormatting sqref="W5">
    <cfRule type="dataBar" priority="7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{D7DD7513-6D26-4336-A6BE-EE5D4A105EE8}</x14:id>
        </ext>
      </extLst>
    </cfRule>
  </conditionalFormatting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4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&amp;L </oddHeader>
    <oddFooter>&amp;L &amp;R&amp;P de &amp;N</oddFooter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A75D46-E9AE-43BE-981B-9D8F9B40EB17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P1</xm:sqref>
        </x14:conditionalFormatting>
        <x14:conditionalFormatting xmlns:xm="http://schemas.microsoft.com/office/excel/2006/main">
          <x14:cfRule type="dataBar" id="{A3903AA2-93F0-474C-8AD6-5151A5EE891E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50FB4A61-627A-4EFE-8ACA-DA5C3233FFDF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P5</xm:sqref>
        </x14:conditionalFormatting>
        <x14:conditionalFormatting xmlns:xm="http://schemas.microsoft.com/office/excel/2006/main">
          <x14:cfRule type="dataBar" id="{76B07289-7056-427E-845D-14E28197657B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W1</xm:sqref>
        </x14:conditionalFormatting>
        <x14:conditionalFormatting xmlns:xm="http://schemas.microsoft.com/office/excel/2006/main">
          <x14:cfRule type="dataBar" id="{CAC8BE60-3510-4CAF-8CE9-307E42641E8D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D7DD7513-6D26-4336-A6BE-EE5D4A105EE8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W5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J40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4" zeroHeight="false" outlineLevelRow="0" outlineLevelCol="0"/>
  <cols>
    <col collapsed="false" customWidth="true" hidden="false" outlineLevel="0" max="1" min="1" style="21" width="10"/>
    <col collapsed="false" customWidth="true" hidden="false" outlineLevel="0" max="2" min="2" style="21" width="12"/>
    <col collapsed="false" customWidth="true" hidden="false" outlineLevel="0" max="3" min="3" style="21" width="10"/>
    <col collapsed="false" customWidth="true" hidden="false" outlineLevel="0" max="4" min="4" style="21" width="53.08"/>
    <col collapsed="false" customWidth="true" hidden="false" outlineLevel="0" max="5" min="5" style="21" width="11.59"/>
    <col collapsed="false" customWidth="true" hidden="false" outlineLevel="0" max="6" min="6" style="21" width="8.33"/>
    <col collapsed="false" customWidth="true" hidden="false" outlineLevel="0" max="7" min="7" style="21" width="12"/>
    <col collapsed="false" customWidth="true" hidden="false" outlineLevel="0" max="8" min="8" style="157" width="10.26"/>
    <col collapsed="false" customWidth="true" hidden="false" outlineLevel="0" max="9" min="9" style="22" width="10.26"/>
    <col collapsed="false" customWidth="true" hidden="false" outlineLevel="0" max="10" min="10" style="22" width="14"/>
    <col collapsed="false" customWidth="true" hidden="true" outlineLevel="0" max="11" min="11" style="158" width="9"/>
    <col collapsed="false" customWidth="true" hidden="true" outlineLevel="0" max="15" min="12" style="159" width="9"/>
    <col collapsed="false" customWidth="true" hidden="true" outlineLevel="0" max="16" min="16" style="160" width="9"/>
    <col collapsed="false" customWidth="true" hidden="true" outlineLevel="0" max="18" min="17" style="159" width="9"/>
    <col collapsed="false" customWidth="true" hidden="true" outlineLevel="0" max="21" min="19" style="161" width="9"/>
    <col collapsed="false" customWidth="true" hidden="true" outlineLevel="0" max="29" min="22" style="159" width="9"/>
    <col collapsed="false" customWidth="true" hidden="true" outlineLevel="0" max="32" min="30" style="21" width="10.5"/>
    <col collapsed="false" customWidth="true" hidden="false" outlineLevel="0" max="1025" min="33" style="21" width="9"/>
  </cols>
  <sheetData>
    <row r="1" customFormat="false" ht="15" hidden="false" customHeight="true" outlineLevel="0" collapsed="false">
      <c r="A1" s="162"/>
      <c r="B1" s="162"/>
      <c r="C1" s="162"/>
      <c r="D1" s="162"/>
      <c r="E1" s="162"/>
      <c r="F1" s="162"/>
      <c r="G1" s="162"/>
      <c r="H1" s="162"/>
      <c r="I1" s="162"/>
      <c r="J1" s="162"/>
      <c r="P1" s="70"/>
      <c r="Q1" s="70"/>
      <c r="W1" s="70"/>
      <c r="X1" s="70"/>
    </row>
    <row r="2" customFormat="false" ht="15" hidden="false" customHeight="true" outlineLevel="0" collapsed="false">
      <c r="A2" s="163" t="str">
        <f aca="false">INSTRUÇÕES!A2</f>
        <v>PROCURADORIA GERAL DA REPÚBLICA</v>
      </c>
      <c r="B2" s="163"/>
      <c r="C2" s="163"/>
      <c r="D2" s="163"/>
      <c r="E2" s="163"/>
      <c r="F2" s="163"/>
      <c r="G2" s="163"/>
      <c r="H2" s="163"/>
      <c r="I2" s="163"/>
      <c r="J2" s="163"/>
      <c r="P2" s="21"/>
      <c r="Q2" s="21"/>
      <c r="W2" s="21"/>
      <c r="X2" s="21"/>
    </row>
    <row r="3" customFormat="false" ht="15" hidden="false" customHeight="true" outlineLevel="0" collapsed="false">
      <c r="A3" s="163" t="str">
        <f aca="false">INSTRUÇÕES!A3</f>
        <v>SECRETARIA DE ENGENHARIA E ARQUITETURA</v>
      </c>
      <c r="B3" s="163"/>
      <c r="C3" s="163"/>
      <c r="D3" s="163"/>
      <c r="E3" s="163"/>
      <c r="F3" s="163"/>
      <c r="G3" s="163"/>
      <c r="H3" s="163"/>
      <c r="I3" s="163"/>
      <c r="J3" s="163"/>
      <c r="P3" s="70"/>
      <c r="Q3" s="70"/>
    </row>
    <row r="4" customFormat="false" ht="15" hidden="false" customHeight="true" outlineLevel="0" collapsed="false">
      <c r="A4" s="163"/>
      <c r="B4" s="163"/>
      <c r="C4" s="163"/>
      <c r="D4" s="163"/>
      <c r="E4" s="163"/>
      <c r="F4" s="163"/>
      <c r="G4" s="163"/>
      <c r="H4" s="163"/>
      <c r="I4" s="163"/>
      <c r="J4" s="163"/>
      <c r="P4" s="21"/>
      <c r="Q4" s="21"/>
      <c r="W4" s="21"/>
      <c r="X4" s="21"/>
    </row>
    <row r="5" customFormat="false" ht="15" hidden="false" customHeight="true" outlineLevel="0" collapsed="false">
      <c r="A5" s="164" t="str">
        <f aca="false">INSTRUÇÕES!A6</f>
        <v>OBRA: SFCR DA PROCURADORIA DA REPÚBLICA EM GOIÁS (PR-GO)</v>
      </c>
      <c r="B5" s="164"/>
      <c r="C5" s="164"/>
      <c r="D5" s="164"/>
      <c r="E5" s="164"/>
      <c r="F5" s="164"/>
      <c r="G5" s="164"/>
      <c r="H5" s="164"/>
      <c r="I5" s="164"/>
      <c r="J5" s="164"/>
      <c r="P5" s="70"/>
      <c r="Q5" s="70"/>
      <c r="T5" s="21"/>
      <c r="U5" s="21"/>
      <c r="W5" s="21"/>
      <c r="X5" s="21"/>
      <c r="Y5" s="21"/>
      <c r="AB5" s="21"/>
      <c r="AC5" s="21"/>
    </row>
    <row r="6" customFormat="false" ht="25" hidden="false" customHeight="true" outlineLevel="0" collapsed="false">
      <c r="A6" s="165" t="s">
        <v>248</v>
      </c>
      <c r="B6" s="165"/>
      <c r="C6" s="165"/>
      <c r="D6" s="165"/>
      <c r="E6" s="165"/>
      <c r="F6" s="165"/>
      <c r="G6" s="165"/>
      <c r="H6" s="165"/>
      <c r="I6" s="165"/>
      <c r="J6" s="165"/>
      <c r="Q6" s="166"/>
    </row>
    <row r="7" customFormat="false" ht="15" hidden="false" customHeight="true" outlineLevel="0" collapsed="false">
      <c r="A7" s="167"/>
      <c r="B7" s="167"/>
      <c r="C7" s="167"/>
      <c r="D7" s="167"/>
      <c r="E7" s="167"/>
      <c r="F7" s="167"/>
      <c r="G7" s="167"/>
      <c r="H7" s="167"/>
      <c r="I7" s="167"/>
      <c r="J7" s="167"/>
      <c r="S7" s="168"/>
      <c r="T7" s="168"/>
      <c r="U7" s="168"/>
      <c r="V7" s="166"/>
      <c r="W7" s="166"/>
      <c r="X7" s="166"/>
      <c r="Y7" s="166"/>
      <c r="Z7" s="166"/>
      <c r="AA7" s="166"/>
      <c r="AB7" s="166"/>
      <c r="AC7" s="166"/>
      <c r="AD7" s="169"/>
      <c r="AE7" s="169"/>
      <c r="AF7" s="169"/>
      <c r="AG7" s="169"/>
      <c r="AH7" s="169"/>
      <c r="AI7" s="169"/>
      <c r="AJ7" s="169"/>
    </row>
    <row r="8" customFormat="false" ht="15" hidden="false" customHeight="true" outlineLevel="0" collapsed="false">
      <c r="A8" s="170"/>
      <c r="B8" s="170"/>
      <c r="C8" s="170"/>
      <c r="D8" s="170"/>
      <c r="E8" s="171" t="str">
        <f aca="false">SINTÉTICA!$E$8</f>
        <v>LEIS SOCIAIS DESONERADAS - REFERÊNCIA HORISTA SINAPI: LS</v>
      </c>
      <c r="F8" s="171"/>
      <c r="G8" s="171"/>
      <c r="H8" s="171"/>
      <c r="I8" s="171"/>
      <c r="J8" s="172" t="n">
        <f aca="false">SINTÉTICA!$J$8</f>
        <v>1.1542</v>
      </c>
      <c r="S8" s="168"/>
      <c r="T8" s="168"/>
      <c r="U8" s="168"/>
      <c r="V8" s="166"/>
      <c r="W8" s="166"/>
      <c r="X8" s="166"/>
      <c r="Y8" s="166"/>
      <c r="Z8" s="166"/>
      <c r="AA8" s="166"/>
      <c r="AB8" s="166"/>
      <c r="AC8" s="166"/>
      <c r="AD8" s="169"/>
      <c r="AE8" s="169"/>
      <c r="AF8" s="169"/>
      <c r="AG8" s="169"/>
      <c r="AH8" s="169"/>
      <c r="AI8" s="169"/>
      <c r="AJ8" s="169"/>
    </row>
    <row r="9" customFormat="false" ht="15" hidden="false" customHeight="true" outlineLevel="0" collapsed="false">
      <c r="A9" s="170"/>
      <c r="B9" s="170"/>
      <c r="C9" s="170"/>
      <c r="D9" s="170"/>
      <c r="E9" s="171" t="str">
        <f aca="false">SINTÉTICA!$E$9</f>
        <v>BENEFÍCIOS E DESPESAS INDIRETAS: BDI</v>
      </c>
      <c r="F9" s="171"/>
      <c r="G9" s="171"/>
      <c r="H9" s="171"/>
      <c r="I9" s="171"/>
      <c r="J9" s="173" t="n">
        <f aca="false">BDI!D23</f>
        <v>0.2222</v>
      </c>
      <c r="S9" s="168"/>
      <c r="T9" s="168"/>
      <c r="U9" s="168"/>
      <c r="V9" s="166"/>
      <c r="W9" s="166"/>
      <c r="X9" s="166"/>
      <c r="Y9" s="166"/>
      <c r="Z9" s="166"/>
      <c r="AA9" s="166"/>
      <c r="AB9" s="166"/>
      <c r="AC9" s="166"/>
      <c r="AD9" s="169"/>
      <c r="AE9" s="169"/>
      <c r="AF9" s="169"/>
      <c r="AG9" s="169"/>
      <c r="AH9" s="169"/>
      <c r="AI9" s="169"/>
      <c r="AJ9" s="169"/>
    </row>
    <row r="10" customFormat="false" ht="15" hidden="false" customHeight="true" outlineLevel="0" collapsed="false">
      <c r="A10" s="170"/>
      <c r="B10" s="170"/>
      <c r="C10" s="170"/>
      <c r="D10" s="170"/>
      <c r="E10" s="171" t="str">
        <f aca="false">SINTÉTICA!$E$10</f>
        <v>REFERÊNCIA: SINAPI - GO - MAIO/22 (NÃO-DESONERADA)</v>
      </c>
      <c r="F10" s="171"/>
      <c r="G10" s="171"/>
      <c r="H10" s="171"/>
      <c r="I10" s="171"/>
      <c r="J10" s="174"/>
      <c r="S10" s="168"/>
      <c r="T10" s="168"/>
      <c r="U10" s="168"/>
      <c r="V10" s="166"/>
      <c r="W10" s="166"/>
      <c r="X10" s="166"/>
      <c r="Y10" s="166"/>
      <c r="Z10" s="166"/>
      <c r="AA10" s="166"/>
      <c r="AB10" s="166"/>
      <c r="AC10" s="166"/>
      <c r="AD10" s="169"/>
      <c r="AE10" s="169"/>
      <c r="AF10" s="169"/>
      <c r="AG10" s="169"/>
      <c r="AH10" s="169"/>
      <c r="AI10" s="169"/>
      <c r="AJ10" s="169"/>
    </row>
    <row r="11" customFormat="false" ht="15" hidden="false" customHeight="true" outlineLevel="0" collapsed="false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L11" s="176"/>
      <c r="M11" s="176"/>
      <c r="N11" s="176"/>
      <c r="O11" s="176"/>
      <c r="P11" s="176"/>
      <c r="Q11" s="176"/>
      <c r="R11" s="176"/>
      <c r="S11" s="176"/>
      <c r="T11" s="176" t="n">
        <v>20</v>
      </c>
      <c r="U11" s="176" t="n">
        <v>21</v>
      </c>
      <c r="V11" s="176" t="n">
        <v>22</v>
      </c>
      <c r="W11" s="176" t="n">
        <v>23</v>
      </c>
      <c r="X11" s="176" t="n">
        <v>24</v>
      </c>
      <c r="Y11" s="176" t="n">
        <v>25</v>
      </c>
      <c r="Z11" s="176" t="n">
        <v>26</v>
      </c>
      <c r="AA11" s="176" t="n">
        <v>27</v>
      </c>
      <c r="AB11" s="176" t="n">
        <v>28</v>
      </c>
      <c r="AC11" s="176" t="n">
        <v>29</v>
      </c>
      <c r="AD11" s="169"/>
      <c r="AE11" s="169"/>
      <c r="AF11" s="169"/>
      <c r="AG11" s="169"/>
      <c r="AH11" s="169"/>
      <c r="AI11" s="169"/>
      <c r="AJ11" s="169"/>
    </row>
    <row r="12" customFormat="false" ht="30" hidden="false" customHeight="true" outlineLevel="0" collapsed="false">
      <c r="A12" s="177" t="s">
        <v>105</v>
      </c>
      <c r="B12" s="177" t="s">
        <v>18</v>
      </c>
      <c r="C12" s="177" t="s">
        <v>19</v>
      </c>
      <c r="D12" s="177" t="s">
        <v>20</v>
      </c>
      <c r="E12" s="177" t="s">
        <v>105</v>
      </c>
      <c r="F12" s="177"/>
      <c r="G12" s="177" t="s">
        <v>21</v>
      </c>
      <c r="H12" s="177" t="s">
        <v>22</v>
      </c>
      <c r="I12" s="178" t="s">
        <v>23</v>
      </c>
      <c r="J12" s="178" t="s">
        <v>249</v>
      </c>
      <c r="L12" s="179" t="s">
        <v>108</v>
      </c>
      <c r="M12" s="180" t="s">
        <v>109</v>
      </c>
      <c r="N12" s="180" t="s">
        <v>110</v>
      </c>
      <c r="O12" s="180" t="s">
        <v>111</v>
      </c>
      <c r="P12" s="84" t="s">
        <v>112</v>
      </c>
      <c r="Q12" s="180" t="s">
        <v>113</v>
      </c>
      <c r="R12" s="181" t="s">
        <v>114</v>
      </c>
      <c r="S12" s="176"/>
      <c r="T12" s="182"/>
      <c r="U12" s="183" t="s">
        <v>115</v>
      </c>
      <c r="V12" s="183" t="s">
        <v>116</v>
      </c>
      <c r="W12" s="183" t="s">
        <v>117</v>
      </c>
      <c r="X12" s="183" t="s">
        <v>118</v>
      </c>
      <c r="Y12" s="183"/>
      <c r="Z12" s="183" t="s">
        <v>119</v>
      </c>
      <c r="AA12" s="183" t="s">
        <v>120</v>
      </c>
      <c r="AB12" s="183"/>
      <c r="AC12" s="184"/>
      <c r="AD12" s="169"/>
      <c r="AE12" s="169"/>
      <c r="AF12" s="169"/>
      <c r="AG12" s="169"/>
      <c r="AH12" s="169"/>
      <c r="AI12" s="169"/>
      <c r="AJ12" s="169"/>
    </row>
    <row r="13" s="21" customFormat="true" ht="14" hidden="false" customHeight="false" outlineLevel="0" collapsed="false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58"/>
      <c r="S13" s="186"/>
      <c r="T13" s="187" t="s">
        <v>121</v>
      </c>
      <c r="U13" s="188" t="n">
        <v>88239</v>
      </c>
      <c r="V13" s="189" t="s">
        <v>122</v>
      </c>
      <c r="W13" s="189" t="s">
        <v>123</v>
      </c>
      <c r="X13" s="189" t="s">
        <v>124</v>
      </c>
      <c r="Y13" s="189"/>
      <c r="Z13" s="190" t="s">
        <v>125</v>
      </c>
      <c r="AA13" s="191" t="n">
        <v>1</v>
      </c>
      <c r="AB13" s="192" t="n">
        <f aca="false">SUMIF(AE:AE,$L13,AF:AF)</f>
        <v>0</v>
      </c>
      <c r="AC13" s="193" t="n">
        <f aca="false">TRUNC(AA13*AB13,2)</f>
        <v>0</v>
      </c>
      <c r="AD13" s="169"/>
      <c r="AE13" s="169"/>
      <c r="AF13" s="169"/>
      <c r="AG13" s="169"/>
      <c r="AH13" s="169"/>
      <c r="AI13" s="169"/>
      <c r="AJ13" s="169"/>
    </row>
    <row r="14" customFormat="false" ht="14" hidden="false" customHeight="true" outlineLevel="0" collapsed="false">
      <c r="A14" s="118"/>
      <c r="B14" s="119" t="s">
        <v>115</v>
      </c>
      <c r="C14" s="118" t="s">
        <v>116</v>
      </c>
      <c r="D14" s="118" t="s">
        <v>117</v>
      </c>
      <c r="E14" s="118" t="s">
        <v>118</v>
      </c>
      <c r="F14" s="118"/>
      <c r="G14" s="120" t="s">
        <v>119</v>
      </c>
      <c r="H14" s="119" t="s">
        <v>120</v>
      </c>
      <c r="I14" s="119" t="s">
        <v>130</v>
      </c>
      <c r="J14" s="119" t="s">
        <v>131</v>
      </c>
      <c r="L14" s="194"/>
      <c r="M14" s="194"/>
      <c r="N14" s="194"/>
      <c r="O14" s="194"/>
      <c r="P14" s="195"/>
      <c r="Q14" s="194"/>
      <c r="R14" s="194"/>
      <c r="S14" s="186"/>
      <c r="T14" s="196" t="s">
        <v>126</v>
      </c>
      <c r="U14" s="197" t="n">
        <v>95309</v>
      </c>
      <c r="V14" s="198" t="s">
        <v>122</v>
      </c>
      <c r="W14" s="198" t="s">
        <v>127</v>
      </c>
      <c r="X14" s="198" t="s">
        <v>124</v>
      </c>
      <c r="Y14" s="198"/>
      <c r="Z14" s="199" t="s">
        <v>125</v>
      </c>
      <c r="AA14" s="200" t="n">
        <v>1</v>
      </c>
      <c r="AB14" s="201" t="n">
        <f aca="false">SUMIFS(AC:AC,T:T,"Composição",U:U,$B14)</f>
        <v>0</v>
      </c>
      <c r="AC14" s="202" t="n">
        <f aca="false">TRUNC(AA14*AB14,2)</f>
        <v>0</v>
      </c>
      <c r="AD14" s="203"/>
      <c r="AE14" s="203"/>
      <c r="AF14" s="203"/>
      <c r="AG14" s="203"/>
      <c r="AH14" s="203"/>
      <c r="AI14" s="203"/>
      <c r="AJ14" s="203"/>
    </row>
    <row r="15" customFormat="false" ht="14" hidden="false" customHeight="true" outlineLevel="0" collapsed="false">
      <c r="A15" s="122" t="s">
        <v>121</v>
      </c>
      <c r="B15" s="55" t="s">
        <v>179</v>
      </c>
      <c r="C15" s="122" t="s">
        <v>122</v>
      </c>
      <c r="D15" s="122" t="s">
        <v>180</v>
      </c>
      <c r="E15" s="122" t="s">
        <v>124</v>
      </c>
      <c r="F15" s="122"/>
      <c r="G15" s="123" t="s">
        <v>125</v>
      </c>
      <c r="H15" s="124" t="n">
        <v>1</v>
      </c>
      <c r="I15" s="125" t="n">
        <f aca="false">SUMIF(L:L,$L15,M:M)</f>
        <v>19.33</v>
      </c>
      <c r="J15" s="125" t="n">
        <f aca="false">TRUNC(H15*I15,2)</f>
        <v>19.33</v>
      </c>
      <c r="L15" s="176" t="n">
        <v>1</v>
      </c>
      <c r="M15" s="101" t="str">
        <f aca="false">IF(OR(A15="Insumo",A15="Composição Auxiliar"),J15,"")</f>
        <v/>
      </c>
      <c r="N15" s="102" t="str">
        <f aca="false">IF(E15="Mão de Obra",J15,"")</f>
        <v/>
      </c>
      <c r="O15" s="102" t="str">
        <f aca="false">IF(N15&lt;&gt;"","",M15)</f>
        <v/>
      </c>
      <c r="P15" s="103" t="str">
        <f aca="false">IF(A15="Composição",B15,"")</f>
        <v> 88247 </v>
      </c>
      <c r="Q15" s="102" t="n">
        <f aca="false">IF(P15&lt;&gt;"",SUMIF(L15:L115,L15,N15:N115),"")</f>
        <v>13.35</v>
      </c>
      <c r="R15" s="102" t="n">
        <f aca="false">IF(P15&lt;&gt;"",SUMIF(L15:L115,L15,O15:O115),"")</f>
        <v>5.98</v>
      </c>
      <c r="S15" s="168"/>
      <c r="T15" s="204" t="s">
        <v>128</v>
      </c>
      <c r="U15" s="205" t="s">
        <v>129</v>
      </c>
      <c r="V15" s="206" t="str">
        <f aca="false">VLOOKUP(U15,INSUMOS!$A:$I,2,0)</f>
        <v>SINAPI</v>
      </c>
      <c r="W15" s="206" t="str">
        <f aca="false">VLOOKUP(U15,INSUMOS!$A:$I,3,0)</f>
        <v>ALIMENTACAO - HORISTA (COLETADO CAIXA)</v>
      </c>
      <c r="X15" s="206" t="str">
        <f aca="false">VLOOKUP(U15,INSUMOS!$A:$I,4,0)</f>
        <v>Outros</v>
      </c>
      <c r="Y15" s="206"/>
      <c r="Z15" s="207" t="str">
        <f aca="false">VLOOKUP(U15,INSUMOS!$A:$I,5,0)</f>
        <v>H</v>
      </c>
      <c r="AA15" s="208" t="n">
        <v>1</v>
      </c>
      <c r="AB15" s="209" t="n">
        <f aca="false">VLOOKUP(U15,INSUMOS!$A:$I,8,0)</f>
        <v>2.11</v>
      </c>
      <c r="AC15" s="210" t="n">
        <f aca="false">TRUNC(AA15*AB15,2)</f>
        <v>2.11</v>
      </c>
      <c r="AD15" s="169"/>
      <c r="AE15" s="169"/>
      <c r="AF15" s="169"/>
      <c r="AG15" s="169"/>
      <c r="AH15" s="169"/>
      <c r="AI15" s="169"/>
      <c r="AJ15" s="169"/>
    </row>
    <row r="16" customFormat="false" ht="25" hidden="false" customHeight="true" outlineLevel="0" collapsed="false">
      <c r="A16" s="129" t="s">
        <v>126</v>
      </c>
      <c r="B16" s="130" t="s">
        <v>250</v>
      </c>
      <c r="C16" s="129" t="s">
        <v>122</v>
      </c>
      <c r="D16" s="129" t="s">
        <v>251</v>
      </c>
      <c r="E16" s="129" t="s">
        <v>124</v>
      </c>
      <c r="F16" s="129"/>
      <c r="G16" s="131" t="s">
        <v>125</v>
      </c>
      <c r="H16" s="132" t="n">
        <v>1</v>
      </c>
      <c r="I16" s="133" t="n">
        <f aca="false">SUMIFS(J:J,A:A,"Composição",B:B,$B16)</f>
        <v>0.4</v>
      </c>
      <c r="J16" s="133" t="n">
        <f aca="false">TRUNC(H16*I16,2)</f>
        <v>0.4</v>
      </c>
      <c r="L16" s="176" t="n">
        <f aca="false">IF(AND(A17&lt;&gt;"",A16=""),L15+1,L15)</f>
        <v>1</v>
      </c>
      <c r="M16" s="101" t="n">
        <f aca="false">IF(OR(A16="Insumo",A16="Composição Auxiliar"),J16,"")</f>
        <v>0.4</v>
      </c>
      <c r="N16" s="102" t="str">
        <f aca="false">IF(E16="Mão de Obra",J16,"")</f>
        <v/>
      </c>
      <c r="O16" s="102" t="n">
        <f aca="false">IF(N16&lt;&gt;"","",M16)</f>
        <v>0.4</v>
      </c>
      <c r="P16" s="103" t="str">
        <f aca="false">IF(A16="Composição",B16,"")</f>
        <v/>
      </c>
      <c r="Q16" s="102" t="str">
        <f aca="false">IF(P16&lt;&gt;"",SUMIF(L16:L116,L16,N16:N116),"")</f>
        <v/>
      </c>
      <c r="R16" s="102" t="str">
        <f aca="false">IF(P16&lt;&gt;"",SUMIF(L16:L116,L16,O16:O116),"")</f>
        <v/>
      </c>
      <c r="S16" s="168"/>
      <c r="T16" s="211"/>
      <c r="U16" s="212"/>
      <c r="V16" s="211"/>
      <c r="W16" s="211"/>
      <c r="X16" s="211"/>
      <c r="Y16" s="211"/>
      <c r="Z16" s="213"/>
      <c r="AA16" s="214"/>
      <c r="AB16" s="215"/>
      <c r="AC16" s="215"/>
      <c r="AD16" s="169"/>
      <c r="AE16" s="169"/>
      <c r="AF16" s="169"/>
      <c r="AG16" s="169"/>
      <c r="AH16" s="169"/>
      <c r="AI16" s="169"/>
      <c r="AJ16" s="169"/>
    </row>
    <row r="17" customFormat="false" ht="14" hidden="false" customHeight="false" outlineLevel="0" collapsed="false">
      <c r="A17" s="143" t="s">
        <v>128</v>
      </c>
      <c r="B17" s="144" t="s">
        <v>129</v>
      </c>
      <c r="C17" s="143" t="str">
        <f aca="false">VLOOKUP(B17,INSUMOS!$A:$I,2,0)</f>
        <v>SINAPI</v>
      </c>
      <c r="D17" s="143" t="str">
        <f aca="false">VLOOKUP(B17,INSUMOS!$A:$I,3,0)</f>
        <v>ALIMENTACAO - HORISTA (COLETADO CAIXA)</v>
      </c>
      <c r="E17" s="143" t="str">
        <f aca="false">VLOOKUP(B17,INSUMOS!$A:$I,4,0)</f>
        <v>Outros</v>
      </c>
      <c r="F17" s="143"/>
      <c r="G17" s="145" t="str">
        <f aca="false">VLOOKUP(B17,INSUMOS!$A:$I,5,0)</f>
        <v>H</v>
      </c>
      <c r="H17" s="146" t="n">
        <v>1</v>
      </c>
      <c r="I17" s="147" t="n">
        <f aca="false">VLOOKUP(B17,INSUMOS!$A:$I,8,0)</f>
        <v>2.11</v>
      </c>
      <c r="J17" s="147" t="n">
        <f aca="false">TRUNC(H17*I17,2)</f>
        <v>2.11</v>
      </c>
      <c r="K17" s="216"/>
      <c r="L17" s="176" t="n">
        <f aca="false">IF(AND(A18&lt;&gt;"",A17=""),L16+1,L16)</f>
        <v>1</v>
      </c>
      <c r="M17" s="101" t="n">
        <f aca="false">IF(OR(A17="Insumo",A17="Composição Auxiliar"),J17,"")</f>
        <v>2.11</v>
      </c>
      <c r="N17" s="102" t="str">
        <f aca="false">IF(E17="Mão de Obra",J17,"")</f>
        <v/>
      </c>
      <c r="O17" s="102" t="n">
        <f aca="false">IF(N17&lt;&gt;"","",M17)</f>
        <v>2.11</v>
      </c>
      <c r="P17" s="103" t="str">
        <f aca="false">IF(A17="Composição",B17,"")</f>
        <v/>
      </c>
      <c r="Q17" s="102" t="str">
        <f aca="false">IF(P17&lt;&gt;"",SUMIF(L17:L117,L17,N17:N117),"")</f>
        <v/>
      </c>
      <c r="R17" s="102" t="str">
        <f aca="false">IF(P17&lt;&gt;"",SUMIF(L17:L117,L17,O17:O117),"")</f>
        <v/>
      </c>
      <c r="S17" s="168"/>
      <c r="T17" s="211"/>
      <c r="U17" s="212"/>
      <c r="V17" s="211"/>
      <c r="W17" s="211"/>
      <c r="X17" s="211"/>
      <c r="Y17" s="211"/>
      <c r="Z17" s="213"/>
      <c r="AA17" s="214"/>
      <c r="AB17" s="215"/>
      <c r="AC17" s="215"/>
      <c r="AD17" s="169"/>
      <c r="AE17" s="169"/>
      <c r="AF17" s="169"/>
      <c r="AG17" s="169"/>
      <c r="AH17" s="169"/>
      <c r="AI17" s="169"/>
      <c r="AJ17" s="169"/>
    </row>
    <row r="18" customFormat="false" ht="14" hidden="false" customHeight="false" outlineLevel="0" collapsed="false">
      <c r="A18" s="143" t="s">
        <v>128</v>
      </c>
      <c r="B18" s="144" t="s">
        <v>252</v>
      </c>
      <c r="C18" s="143" t="str">
        <f aca="false">VLOOKUP(B18,INSUMOS!$A:$I,2,0)</f>
        <v>SINAPI</v>
      </c>
      <c r="D18" s="143" t="str">
        <f aca="false">VLOOKUP(B18,INSUMOS!$A:$I,3,0)</f>
        <v>AJUDANTE DE ELETRICISTA</v>
      </c>
      <c r="E18" s="143" t="str">
        <f aca="false">VLOOKUP(B18,INSUMOS!$A:$I,4,0)</f>
        <v>Mão de Obra</v>
      </c>
      <c r="F18" s="143"/>
      <c r="G18" s="145" t="str">
        <f aca="false">VLOOKUP(B18,INSUMOS!$A:$I,5,0)</f>
        <v>H</v>
      </c>
      <c r="H18" s="146" t="n">
        <v>1</v>
      </c>
      <c r="I18" s="147" t="n">
        <f aca="false">VLOOKUP(B18,INSUMOS!$A:$I,8,0)</f>
        <v>13.35</v>
      </c>
      <c r="J18" s="147" t="n">
        <f aca="false">TRUNC(H18*I18,2)</f>
        <v>13.35</v>
      </c>
      <c r="K18" s="217"/>
      <c r="L18" s="176" t="n">
        <f aca="false">IF(AND(A19&lt;&gt;"",A18=""),L17+1,L17)</f>
        <v>1</v>
      </c>
      <c r="M18" s="101" t="n">
        <f aca="false">IF(OR(A18="Insumo",A18="Composição Auxiliar"),J18,"")</f>
        <v>13.35</v>
      </c>
      <c r="N18" s="102" t="n">
        <f aca="false">IF(E18="Mão de Obra",J18,"")</f>
        <v>13.35</v>
      </c>
      <c r="O18" s="102" t="str">
        <f aca="false">IF(N18&lt;&gt;"","",M18)</f>
        <v/>
      </c>
      <c r="P18" s="103" t="str">
        <f aca="false">IF(A18="Composição",B18,"")</f>
        <v/>
      </c>
      <c r="Q18" s="102" t="str">
        <f aca="false">IF(P18&lt;&gt;"",SUMIF(L18:L118,L18,N18:N118),"")</f>
        <v/>
      </c>
      <c r="R18" s="102" t="str">
        <f aca="false">IF(P18&lt;&gt;"",SUMIF(L18:L118,L18,O18:O118),"")</f>
        <v/>
      </c>
      <c r="S18" s="168"/>
      <c r="T18" s="211"/>
      <c r="U18" s="212"/>
      <c r="V18" s="211"/>
      <c r="W18" s="211"/>
      <c r="X18" s="211"/>
      <c r="Y18" s="211"/>
      <c r="Z18" s="213"/>
      <c r="AA18" s="214"/>
      <c r="AB18" s="215"/>
      <c r="AC18" s="215"/>
      <c r="AD18" s="169"/>
      <c r="AE18" s="169"/>
      <c r="AF18" s="169"/>
      <c r="AG18" s="169"/>
      <c r="AH18" s="169"/>
      <c r="AI18" s="169"/>
      <c r="AJ18" s="169"/>
    </row>
    <row r="19" customFormat="false" ht="25" hidden="false" customHeight="false" outlineLevel="0" collapsed="false">
      <c r="A19" s="143" t="s">
        <v>128</v>
      </c>
      <c r="B19" s="144" t="s">
        <v>253</v>
      </c>
      <c r="C19" s="143" t="str">
        <f aca="false">VLOOKUP(B19,INSUMOS!$A:$I,2,0)</f>
        <v>SINAPI</v>
      </c>
      <c r="D19" s="143" t="str">
        <f aca="false">VLOOKUP(B19,INSUMOS!$A:$I,3,0)</f>
        <v>EPI - FAMILIA ELETRICISTA - HORISTA (ENCARGOS COMPLEMENTARES - COLETADO CAIXA)</v>
      </c>
      <c r="E19" s="143" t="str">
        <f aca="false">VLOOKUP(B19,INSUMOS!$A:$I,4,0)</f>
        <v>Equipamento</v>
      </c>
      <c r="F19" s="143"/>
      <c r="G19" s="145" t="str">
        <f aca="false">VLOOKUP(B19,INSUMOS!$A:$I,5,0)</f>
        <v>H</v>
      </c>
      <c r="H19" s="146" t="n">
        <v>1</v>
      </c>
      <c r="I19" s="147" t="n">
        <f aca="false">VLOOKUP(B19,INSUMOS!$A:$I,8,0)</f>
        <v>1.07</v>
      </c>
      <c r="J19" s="147" t="n">
        <f aca="false">TRUNC(H19*I19,2)</f>
        <v>1.07</v>
      </c>
      <c r="K19" s="217"/>
      <c r="L19" s="176" t="n">
        <f aca="false">IF(AND(A20&lt;&gt;"",A19=""),L18+1,L18)</f>
        <v>1</v>
      </c>
      <c r="M19" s="101" t="n">
        <f aca="false">IF(OR(A19="Insumo",A19="Composição Auxiliar"),J19,"")</f>
        <v>1.07</v>
      </c>
      <c r="N19" s="102" t="str">
        <f aca="false">IF(E19="Mão de Obra",J19,"")</f>
        <v/>
      </c>
      <c r="O19" s="102" t="n">
        <f aca="false">IF(N19&lt;&gt;"","",M19)</f>
        <v>1.07</v>
      </c>
      <c r="P19" s="103" t="str">
        <f aca="false">IF(A19="Composição",B19,"")</f>
        <v/>
      </c>
      <c r="Q19" s="102" t="str">
        <f aca="false">IF(P19&lt;&gt;"",SUMIF(L19:L119,L19,N19:N119),"")</f>
        <v/>
      </c>
      <c r="R19" s="102" t="str">
        <f aca="false">IF(P19&lt;&gt;"",SUMIF(L19:L119,L19,O19:O119),"")</f>
        <v/>
      </c>
      <c r="S19" s="168"/>
      <c r="T19" s="168"/>
      <c r="U19" s="168"/>
      <c r="V19" s="166"/>
      <c r="W19" s="166"/>
      <c r="X19" s="166"/>
      <c r="Y19" s="166"/>
      <c r="Z19" s="166"/>
      <c r="AA19" s="166"/>
      <c r="AB19" s="166"/>
      <c r="AC19" s="166"/>
      <c r="AD19" s="169"/>
      <c r="AE19" s="169"/>
      <c r="AF19" s="169"/>
      <c r="AG19" s="169"/>
      <c r="AH19" s="169"/>
      <c r="AI19" s="169"/>
      <c r="AJ19" s="169"/>
    </row>
    <row r="20" customFormat="false" ht="14" hidden="false" customHeight="false" outlineLevel="0" collapsed="false">
      <c r="A20" s="143" t="s">
        <v>128</v>
      </c>
      <c r="B20" s="144" t="s">
        <v>245</v>
      </c>
      <c r="C20" s="143" t="str">
        <f aca="false">VLOOKUP(B20,INSUMOS!$A:$I,2,0)</f>
        <v>SINAPI</v>
      </c>
      <c r="D20" s="143" t="str">
        <f aca="false">VLOOKUP(B20,INSUMOS!$A:$I,3,0)</f>
        <v>EXAMES - HORISTA (COLETADO CAIXA)</v>
      </c>
      <c r="E20" s="143" t="str">
        <f aca="false">VLOOKUP(B20,INSUMOS!$A:$I,4,0)</f>
        <v>Outros</v>
      </c>
      <c r="F20" s="143"/>
      <c r="G20" s="145" t="str">
        <f aca="false">VLOOKUP(B20,INSUMOS!$A:$I,5,0)</f>
        <v>H</v>
      </c>
      <c r="H20" s="146" t="n">
        <v>1</v>
      </c>
      <c r="I20" s="147" t="n">
        <f aca="false">VLOOKUP(B20,INSUMOS!$A:$I,8,0)</f>
        <v>0.81</v>
      </c>
      <c r="J20" s="147" t="n">
        <f aca="false">TRUNC(H20*I20,2)</f>
        <v>0.81</v>
      </c>
      <c r="K20" s="217"/>
      <c r="L20" s="176" t="n">
        <f aca="false">IF(AND(A21&lt;&gt;"",A20=""),L19+1,L19)</f>
        <v>1</v>
      </c>
      <c r="M20" s="101" t="n">
        <f aca="false">IF(OR(A20="Insumo",A20="Composição Auxiliar"),J20,"")</f>
        <v>0.81</v>
      </c>
      <c r="N20" s="102" t="str">
        <f aca="false">IF(E20="Mão de Obra",J20,"")</f>
        <v/>
      </c>
      <c r="O20" s="102" t="n">
        <f aca="false">IF(N20&lt;&gt;"","",M20)</f>
        <v>0.81</v>
      </c>
      <c r="P20" s="103" t="str">
        <f aca="false">IF(A20="Composição",B20,"")</f>
        <v/>
      </c>
      <c r="Q20" s="102" t="str">
        <f aca="false">IF(P20&lt;&gt;"",SUMIF(L20:L120,L20,N20:N120),"")</f>
        <v/>
      </c>
      <c r="R20" s="102" t="str">
        <f aca="false">IF(P20&lt;&gt;"",SUMIF(L20:L120,L20,O20:O120),"")</f>
        <v/>
      </c>
      <c r="S20" s="168"/>
      <c r="T20" s="168"/>
      <c r="U20" s="168"/>
      <c r="V20" s="166"/>
      <c r="Z20" s="166"/>
      <c r="AA20" s="166"/>
      <c r="AB20" s="166"/>
      <c r="AC20" s="166"/>
      <c r="AD20" s="169"/>
      <c r="AE20" s="169"/>
      <c r="AF20" s="169"/>
      <c r="AG20" s="169"/>
      <c r="AH20" s="169"/>
      <c r="AI20" s="169"/>
      <c r="AJ20" s="169"/>
    </row>
    <row r="21" customFormat="false" ht="25" hidden="false" customHeight="false" outlineLevel="0" collapsed="false">
      <c r="A21" s="143" t="s">
        <v>128</v>
      </c>
      <c r="B21" s="144" t="s">
        <v>254</v>
      </c>
      <c r="C21" s="143" t="str">
        <f aca="false">VLOOKUP(B21,INSUMOS!$A:$I,2,0)</f>
        <v>SINAPI</v>
      </c>
      <c r="D21" s="143" t="str">
        <f aca="false">VLOOKUP(B21,INSUMOS!$A:$I,3,0)</f>
        <v>FERRAMENTAS - FAMILIA ELETRICISTA - HORISTA (ENCARGOS COMPLEMENTARES - COLETADO CAIXA)</v>
      </c>
      <c r="E21" s="143" t="str">
        <f aca="false">VLOOKUP(B21,INSUMOS!$A:$I,4,0)</f>
        <v>Equipamento</v>
      </c>
      <c r="F21" s="143"/>
      <c r="G21" s="145" t="str">
        <f aca="false">VLOOKUP(B21,INSUMOS!$A:$I,5,0)</f>
        <v>H</v>
      </c>
      <c r="H21" s="146" t="n">
        <v>1</v>
      </c>
      <c r="I21" s="147" t="n">
        <f aca="false">VLOOKUP(B21,INSUMOS!$A:$I,8,0)</f>
        <v>0.78</v>
      </c>
      <c r="J21" s="147" t="n">
        <f aca="false">TRUNC(H21*I21,2)</f>
        <v>0.78</v>
      </c>
      <c r="K21" s="217"/>
      <c r="L21" s="176" t="n">
        <f aca="false">IF(AND(A22&lt;&gt;"",A21=""),L20+1,L20)</f>
        <v>1</v>
      </c>
      <c r="M21" s="101" t="n">
        <f aca="false">IF(OR(A21="Insumo",A21="Composição Auxiliar"),J21,"")</f>
        <v>0.78</v>
      </c>
      <c r="N21" s="102" t="str">
        <f aca="false">IF(E21="Mão de Obra",J21,"")</f>
        <v/>
      </c>
      <c r="O21" s="102" t="n">
        <f aca="false">IF(N21&lt;&gt;"","",M21)</f>
        <v>0.78</v>
      </c>
      <c r="P21" s="103" t="str">
        <f aca="false">IF(A21="Composição",B21,"")</f>
        <v/>
      </c>
      <c r="Q21" s="102" t="str">
        <f aca="false">IF(P21&lt;&gt;"",SUMIF(L21:L121,L21,N21:N121),"")</f>
        <v/>
      </c>
      <c r="R21" s="102" t="str">
        <f aca="false">IF(P21&lt;&gt;"",SUMIF(L21:L121,L21,O21:O121),"")</f>
        <v/>
      </c>
      <c r="S21" s="168"/>
      <c r="T21" s="168"/>
      <c r="U21" s="168"/>
      <c r="V21" s="166"/>
      <c r="Z21" s="166"/>
      <c r="AA21" s="166"/>
      <c r="AB21" s="166"/>
      <c r="AC21" s="166"/>
      <c r="AD21" s="169"/>
      <c r="AE21" s="169"/>
      <c r="AF21" s="169"/>
      <c r="AG21" s="169"/>
      <c r="AH21" s="169"/>
      <c r="AI21" s="169"/>
      <c r="AJ21" s="169"/>
    </row>
    <row r="22" customFormat="false" ht="14.25" hidden="false" customHeight="true" outlineLevel="0" collapsed="false">
      <c r="A22" s="143" t="s">
        <v>128</v>
      </c>
      <c r="B22" s="144" t="s">
        <v>247</v>
      </c>
      <c r="C22" s="143" t="str">
        <f aca="false">VLOOKUP(B22,INSUMOS!$A:$I,2,0)</f>
        <v>SINAPI</v>
      </c>
      <c r="D22" s="143" t="str">
        <f aca="false">VLOOKUP(B22,INSUMOS!$A:$I,3,0)</f>
        <v>SEGURO - HORISTA (COLETADO CAIXA)</v>
      </c>
      <c r="E22" s="143" t="str">
        <f aca="false">VLOOKUP(B22,INSUMOS!$A:$I,4,0)</f>
        <v>Taxas</v>
      </c>
      <c r="F22" s="143"/>
      <c r="G22" s="145" t="str">
        <f aca="false">VLOOKUP(B22,INSUMOS!$A:$I,5,0)</f>
        <v>H</v>
      </c>
      <c r="H22" s="146" t="n">
        <v>1</v>
      </c>
      <c r="I22" s="147" t="n">
        <f aca="false">VLOOKUP(B22,INSUMOS!$A:$I,8,0)</f>
        <v>0.06</v>
      </c>
      <c r="J22" s="147" t="n">
        <f aca="false">TRUNC(H22*I22,2)</f>
        <v>0.06</v>
      </c>
      <c r="K22" s="217"/>
      <c r="L22" s="176" t="n">
        <f aca="false">IF(AND(A23&lt;&gt;"",A22=""),L21+1,L21)</f>
        <v>1</v>
      </c>
      <c r="M22" s="101" t="n">
        <f aca="false">IF(OR(A22="Insumo",A22="Composição Auxiliar"),J22,"")</f>
        <v>0.06</v>
      </c>
      <c r="N22" s="102" t="str">
        <f aca="false">IF(E22="Mão de Obra",J22,"")</f>
        <v/>
      </c>
      <c r="O22" s="102" t="n">
        <f aca="false">IF(N22&lt;&gt;"","",M22)</f>
        <v>0.06</v>
      </c>
      <c r="P22" s="103" t="str">
        <f aca="false">IF(A22="Composição",B22,"")</f>
        <v/>
      </c>
      <c r="Q22" s="102" t="str">
        <f aca="false">IF(P22&lt;&gt;"",SUMIF(L22:L122,L22,N22:N122),"")</f>
        <v/>
      </c>
      <c r="R22" s="102" t="str">
        <f aca="false">IF(P22&lt;&gt;"",SUMIF(L22:L122,L22,O22:O122),"")</f>
        <v/>
      </c>
      <c r="S22" s="168"/>
      <c r="T22" s="168"/>
      <c r="U22" s="168"/>
      <c r="V22" s="166"/>
      <c r="Z22" s="166"/>
      <c r="AA22" s="166"/>
      <c r="AB22" s="166"/>
      <c r="AC22" s="166"/>
      <c r="AD22" s="169"/>
      <c r="AE22" s="169"/>
      <c r="AF22" s="169"/>
      <c r="AG22" s="169"/>
      <c r="AH22" s="169"/>
      <c r="AI22" s="169"/>
      <c r="AJ22" s="169"/>
    </row>
    <row r="23" customFormat="false" ht="14" hidden="false" customHeight="false" outlineLevel="0" collapsed="false">
      <c r="A23" s="143" t="s">
        <v>128</v>
      </c>
      <c r="B23" s="144" t="s">
        <v>255</v>
      </c>
      <c r="C23" s="143" t="str">
        <f aca="false">VLOOKUP(B23,INSUMOS!$A:$I,2,0)</f>
        <v>SINAPI</v>
      </c>
      <c r="D23" s="143" t="str">
        <f aca="false">VLOOKUP(B23,INSUMOS!$A:$I,3,0)</f>
        <v>TRANSPORTE - HORISTA (COLETADO CAIXA)</v>
      </c>
      <c r="E23" s="143" t="str">
        <f aca="false">VLOOKUP(B23,INSUMOS!$A:$I,4,0)</f>
        <v>Serviços</v>
      </c>
      <c r="F23" s="143"/>
      <c r="G23" s="145" t="str">
        <f aca="false">VLOOKUP(B23,INSUMOS!$A:$I,5,0)</f>
        <v>H</v>
      </c>
      <c r="H23" s="146" t="n">
        <v>1</v>
      </c>
      <c r="I23" s="147" t="n">
        <f aca="false">VLOOKUP(B23,INSUMOS!$A:$I,8,0)</f>
        <v>0.75</v>
      </c>
      <c r="J23" s="147" t="n">
        <f aca="false">TRUNC(H23*I23,2)</f>
        <v>0.75</v>
      </c>
      <c r="K23" s="217"/>
      <c r="L23" s="176" t="n">
        <f aca="false">IF(AND(A24&lt;&gt;"",A23=""),L22+1,L22)</f>
        <v>1</v>
      </c>
      <c r="M23" s="101" t="n">
        <f aca="false">IF(OR(A23="Insumo",A23="Composição Auxiliar"),J23,"")</f>
        <v>0.75</v>
      </c>
      <c r="N23" s="102" t="str">
        <f aca="false">IF(E23="Mão de Obra",J23,"")</f>
        <v/>
      </c>
      <c r="O23" s="102" t="n">
        <f aca="false">IF(N23&lt;&gt;"","",M23)</f>
        <v>0.75</v>
      </c>
      <c r="P23" s="103" t="str">
        <f aca="false">IF(A23="Composição",B23,"")</f>
        <v/>
      </c>
      <c r="Q23" s="102" t="str">
        <f aca="false">IF(P23&lt;&gt;"",SUMIF(L23:L123,L23,N23:N123),"")</f>
        <v/>
      </c>
      <c r="R23" s="102" t="str">
        <f aca="false">IF(P23&lt;&gt;"",SUMIF(L23:L123,L23,O23:O123),"")</f>
        <v/>
      </c>
      <c r="S23" s="168"/>
      <c r="T23" s="168"/>
      <c r="U23" s="168"/>
      <c r="V23" s="166"/>
      <c r="Z23" s="166"/>
      <c r="AA23" s="166"/>
      <c r="AB23" s="166"/>
      <c r="AC23" s="166"/>
      <c r="AD23" s="169"/>
      <c r="AE23" s="169"/>
      <c r="AF23" s="169"/>
      <c r="AG23" s="169"/>
      <c r="AH23" s="169"/>
      <c r="AI23" s="169"/>
      <c r="AJ23" s="169"/>
    </row>
    <row r="24" customFormat="false" ht="14.15" hidden="false" customHeight="true" outlineLevel="0" collapsed="false">
      <c r="A24" s="149"/>
      <c r="B24" s="149"/>
      <c r="C24" s="149"/>
      <c r="D24" s="149"/>
      <c r="E24" s="149"/>
      <c r="F24" s="150"/>
      <c r="G24" s="149"/>
      <c r="H24" s="150"/>
      <c r="I24" s="149"/>
      <c r="J24" s="150"/>
      <c r="K24" s="217"/>
      <c r="L24" s="176" t="n">
        <f aca="false">IF(AND(A25&lt;&gt;"",A24=""),L23+1,L23)</f>
        <v>1</v>
      </c>
      <c r="M24" s="101" t="str">
        <f aca="false">IF(OR(A24="Insumo",A24="Composição Auxiliar"),J24,"")</f>
        <v/>
      </c>
      <c r="N24" s="102" t="str">
        <f aca="false">IF(E24="Mão de Obra",J24,"")</f>
        <v/>
      </c>
      <c r="O24" s="102" t="str">
        <f aca="false">IF(N24&lt;&gt;"","",M24)</f>
        <v/>
      </c>
      <c r="P24" s="103" t="str">
        <f aca="false">IF(A24="Composição",B24,"")</f>
        <v/>
      </c>
      <c r="Q24" s="102" t="str">
        <f aca="false">IF(P24&lt;&gt;"",SUMIF(L24:L124,L24,N24:N124),"")</f>
        <v/>
      </c>
      <c r="R24" s="102" t="str">
        <f aca="false">IF(P24&lt;&gt;"",SUMIF(L24:L124,L24,O24:O124),"")</f>
        <v/>
      </c>
      <c r="S24" s="168"/>
      <c r="T24" s="168"/>
      <c r="U24" s="168"/>
      <c r="V24" s="166"/>
      <c r="W24" s="166"/>
      <c r="Z24" s="166"/>
      <c r="AA24" s="166"/>
      <c r="AB24" s="166"/>
      <c r="AC24" s="166"/>
      <c r="AD24" s="169"/>
      <c r="AE24" s="169"/>
      <c r="AF24" s="169"/>
      <c r="AG24" s="169"/>
      <c r="AH24" s="169"/>
      <c r="AI24" s="169"/>
      <c r="AJ24" s="169"/>
    </row>
    <row r="25" customFormat="false" ht="14.5" hidden="false" customHeight="false" outlineLevel="0" collapsed="false">
      <c r="A25" s="149"/>
      <c r="B25" s="149"/>
      <c r="C25" s="149"/>
      <c r="D25" s="149"/>
      <c r="E25" s="149"/>
      <c r="F25" s="150"/>
      <c r="G25" s="149"/>
      <c r="H25" s="151"/>
      <c r="I25" s="151"/>
      <c r="J25" s="150"/>
      <c r="K25" s="217"/>
      <c r="L25" s="176" t="n">
        <f aca="false">IF(AND(A26&lt;&gt;"",A25=""),L24+1,L24)</f>
        <v>1</v>
      </c>
      <c r="M25" s="101" t="str">
        <f aca="false">IF(OR(A25="Insumo",A25="Composição Auxiliar"),J25,"")</f>
        <v/>
      </c>
      <c r="N25" s="102" t="str">
        <f aca="false">IF(E25="Mão de Obra",J25,"")</f>
        <v/>
      </c>
      <c r="O25" s="102" t="str">
        <f aca="false">IF(N25&lt;&gt;"","",M25)</f>
        <v/>
      </c>
      <c r="P25" s="103" t="str">
        <f aca="false">IF(A25="Composição",B25,"")</f>
        <v/>
      </c>
      <c r="Q25" s="102" t="str">
        <f aca="false">IF(P25&lt;&gt;"",SUMIF(L25:L125,L25,N25:N125),"")</f>
        <v/>
      </c>
      <c r="R25" s="102" t="str">
        <f aca="false">IF(P25&lt;&gt;"",SUMIF(L25:L125,L25,O25:O125),"")</f>
        <v/>
      </c>
    </row>
    <row r="26" customFormat="false" ht="14.5" hidden="false" customHeight="false" outlineLevel="0" collapsed="false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217"/>
      <c r="L26" s="176" t="n">
        <f aca="false">IF(AND(A27&lt;&gt;"",A26=""),L25+1,L25)</f>
        <v>1</v>
      </c>
      <c r="M26" s="101" t="str">
        <f aca="false">IF(OR(A26="Insumo",A26="Composição Auxiliar"),J26,"")</f>
        <v/>
      </c>
      <c r="N26" s="102" t="str">
        <f aca="false">IF(E26="Mão de Obra",J26,"")</f>
        <v/>
      </c>
      <c r="O26" s="102" t="str">
        <f aca="false">IF(N26&lt;&gt;"","",M26)</f>
        <v/>
      </c>
      <c r="P26" s="103" t="str">
        <f aca="false">IF(A26="Composição",B26,"")</f>
        <v/>
      </c>
      <c r="Q26" s="102" t="str">
        <f aca="false">IF(P26&lt;&gt;"",SUMIF(L26:L126,L26,N26:N126),"")</f>
        <v/>
      </c>
      <c r="R26" s="102" t="str">
        <f aca="false">IF(P26&lt;&gt;"",SUMIF(L26:L126,L26,O26:O126),"")</f>
        <v/>
      </c>
    </row>
    <row r="27" customFormat="false" ht="25" hidden="false" customHeight="true" outlineLevel="0" collapsed="false">
      <c r="A27" s="118"/>
      <c r="B27" s="119" t="s">
        <v>115</v>
      </c>
      <c r="C27" s="118" t="s">
        <v>116</v>
      </c>
      <c r="D27" s="118" t="s">
        <v>117</v>
      </c>
      <c r="E27" s="118" t="s">
        <v>118</v>
      </c>
      <c r="F27" s="118"/>
      <c r="G27" s="120" t="s">
        <v>119</v>
      </c>
      <c r="H27" s="119" t="s">
        <v>120</v>
      </c>
      <c r="I27" s="119" t="s">
        <v>130</v>
      </c>
      <c r="J27" s="119" t="s">
        <v>131</v>
      </c>
      <c r="K27" s="217"/>
      <c r="L27" s="176" t="n">
        <f aca="false">IF(AND(A28&lt;&gt;"",A27=""),L26+1,L26)</f>
        <v>2</v>
      </c>
      <c r="M27" s="101" t="str">
        <f aca="false">IF(OR(A27="Insumo",A27="Composição Auxiliar"),J27,"")</f>
        <v/>
      </c>
      <c r="N27" s="102" t="str">
        <f aca="false">IF(E27="Mão de Obra",J27,"")</f>
        <v/>
      </c>
      <c r="O27" s="102" t="str">
        <f aca="false">IF(N27&lt;&gt;"","",M27)</f>
        <v/>
      </c>
      <c r="P27" s="103" t="str">
        <f aca="false">IF(A27="Composição",B27,"")</f>
        <v/>
      </c>
      <c r="Q27" s="102" t="str">
        <f aca="false">IF(P27&lt;&gt;"",SUMIF(L27:L127,L27,N27:N127),"")</f>
        <v/>
      </c>
      <c r="R27" s="102" t="str">
        <f aca="false">IF(P27&lt;&gt;"",SUMIF(L27:L127,L27,O27:O127),"")</f>
        <v/>
      </c>
    </row>
    <row r="28" customFormat="false" ht="25" hidden="false" customHeight="true" outlineLevel="0" collapsed="false">
      <c r="A28" s="122" t="s">
        <v>121</v>
      </c>
      <c r="B28" s="55" t="s">
        <v>166</v>
      </c>
      <c r="C28" s="122" t="s">
        <v>122</v>
      </c>
      <c r="D28" s="122" t="s">
        <v>167</v>
      </c>
      <c r="E28" s="122" t="s">
        <v>124</v>
      </c>
      <c r="F28" s="122"/>
      <c r="G28" s="123" t="s">
        <v>125</v>
      </c>
      <c r="H28" s="124" t="n">
        <v>1</v>
      </c>
      <c r="I28" s="125" t="n">
        <f aca="false">SUMIF(L:L,$L28,M:M)</f>
        <v>18.53</v>
      </c>
      <c r="J28" s="125" t="n">
        <f aca="false">TRUNC(H28*I28,2)</f>
        <v>18.53</v>
      </c>
      <c r="K28" s="217"/>
      <c r="L28" s="176" t="n">
        <f aca="false">IF(AND(A29&lt;&gt;"",A28=""),L27+1,L27)</f>
        <v>2</v>
      </c>
      <c r="M28" s="101" t="str">
        <f aca="false">IF(OR(A28="Insumo",A28="Composição Auxiliar"),J28,"")</f>
        <v/>
      </c>
      <c r="N28" s="102" t="str">
        <f aca="false">IF(E28="Mão de Obra",J28,"")</f>
        <v/>
      </c>
      <c r="O28" s="102" t="str">
        <f aca="false">IF(N28&lt;&gt;"","",M28)</f>
        <v/>
      </c>
      <c r="P28" s="103" t="str">
        <f aca="false">IF(A28="Composição",B28,"")</f>
        <v> 88248 </v>
      </c>
      <c r="Q28" s="102" t="n">
        <f aca="false">IF(P28&lt;&gt;"",SUMIF(L28:L128,L28,N28:N128),"")</f>
        <v>13.35</v>
      </c>
      <c r="R28" s="102" t="n">
        <f aca="false">IF(P28&lt;&gt;"",SUMIF(L28:L128,L28,O28:O128),"")</f>
        <v>5.18</v>
      </c>
    </row>
    <row r="29" customFormat="false" ht="25" hidden="false" customHeight="true" outlineLevel="0" collapsed="false">
      <c r="A29" s="129" t="s">
        <v>126</v>
      </c>
      <c r="B29" s="130" t="s">
        <v>256</v>
      </c>
      <c r="C29" s="129" t="s">
        <v>122</v>
      </c>
      <c r="D29" s="129" t="s">
        <v>257</v>
      </c>
      <c r="E29" s="129" t="s">
        <v>124</v>
      </c>
      <c r="F29" s="129"/>
      <c r="G29" s="131" t="s">
        <v>125</v>
      </c>
      <c r="H29" s="132" t="n">
        <v>1</v>
      </c>
      <c r="I29" s="133" t="n">
        <f aca="false">SUMIFS(J:J,A:A,"Composição",B:B,$B29)</f>
        <v>0.19</v>
      </c>
      <c r="J29" s="133" t="n">
        <f aca="false">TRUNC(H29*I29,2)</f>
        <v>0.19</v>
      </c>
      <c r="K29" s="217"/>
      <c r="L29" s="176" t="n">
        <f aca="false">IF(AND(A30&lt;&gt;"",A29=""),L28+1,L28)</f>
        <v>2</v>
      </c>
      <c r="M29" s="101" t="n">
        <f aca="false">IF(OR(A29="Insumo",A29="Composição Auxiliar"),J29,"")</f>
        <v>0.19</v>
      </c>
      <c r="N29" s="102" t="str">
        <f aca="false">IF(E29="Mão de Obra",J29,"")</f>
        <v/>
      </c>
      <c r="O29" s="102" t="n">
        <f aca="false">IF(N29&lt;&gt;"","",M29)</f>
        <v>0.19</v>
      </c>
      <c r="P29" s="103" t="str">
        <f aca="false">IF(A29="Composição",B29,"")</f>
        <v/>
      </c>
      <c r="Q29" s="102" t="str">
        <f aca="false">IF(P29&lt;&gt;"",SUMIF(L29:L129,L29,N29:N129),"")</f>
        <v/>
      </c>
      <c r="R29" s="102" t="str">
        <f aca="false">IF(P29&lt;&gt;"",SUMIF(L29:L129,L29,O29:O129),"")</f>
        <v/>
      </c>
    </row>
    <row r="30" customFormat="false" ht="14" hidden="false" customHeight="false" outlineLevel="0" collapsed="false">
      <c r="A30" s="143" t="s">
        <v>128</v>
      </c>
      <c r="B30" s="144" t="s">
        <v>129</v>
      </c>
      <c r="C30" s="143" t="str">
        <f aca="false">VLOOKUP(B30,INSUMOS!$A:$I,2,0)</f>
        <v>SINAPI</v>
      </c>
      <c r="D30" s="143" t="str">
        <f aca="false">VLOOKUP(B30,INSUMOS!$A:$I,3,0)</f>
        <v>ALIMENTACAO - HORISTA (COLETADO CAIXA)</v>
      </c>
      <c r="E30" s="143" t="str">
        <f aca="false">VLOOKUP(B30,INSUMOS!$A:$I,4,0)</f>
        <v>Outros</v>
      </c>
      <c r="F30" s="143"/>
      <c r="G30" s="145" t="str">
        <f aca="false">VLOOKUP(B30,INSUMOS!$A:$I,5,0)</f>
        <v>H</v>
      </c>
      <c r="H30" s="146" t="n">
        <v>1</v>
      </c>
      <c r="I30" s="147" t="n">
        <f aca="false">VLOOKUP(B30,INSUMOS!$A:$I,8,0)</f>
        <v>2.11</v>
      </c>
      <c r="J30" s="147" t="n">
        <f aca="false">TRUNC(H30*I30,2)</f>
        <v>2.11</v>
      </c>
      <c r="K30" s="217"/>
      <c r="L30" s="176" t="n">
        <f aca="false">IF(AND(A31&lt;&gt;"",A30=""),L29+1,L29)</f>
        <v>2</v>
      </c>
      <c r="M30" s="101" t="n">
        <f aca="false">IF(OR(A30="Insumo",A30="Composição Auxiliar"),J30,"")</f>
        <v>2.11</v>
      </c>
      <c r="N30" s="102" t="str">
        <f aca="false">IF(E30="Mão de Obra",J30,"")</f>
        <v/>
      </c>
      <c r="O30" s="102" t="n">
        <f aca="false">IF(N30&lt;&gt;"","",M30)</f>
        <v>2.11</v>
      </c>
      <c r="P30" s="103" t="str">
        <f aca="false">IF(A30="Composição",B30,"")</f>
        <v/>
      </c>
      <c r="Q30" s="102" t="str">
        <f aca="false">IF(P30&lt;&gt;"",SUMIF(L30:L130,L30,N30:N130),"")</f>
        <v/>
      </c>
      <c r="R30" s="102" t="str">
        <f aca="false">IF(P30&lt;&gt;"",SUMIF(L30:L130,L30,O30:O130),"")</f>
        <v/>
      </c>
    </row>
    <row r="31" customFormat="false" ht="25" hidden="false" customHeight="true" outlineLevel="0" collapsed="false">
      <c r="A31" s="143" t="s">
        <v>128</v>
      </c>
      <c r="B31" s="144" t="s">
        <v>258</v>
      </c>
      <c r="C31" s="143" t="str">
        <f aca="false">VLOOKUP(B31,INSUMOS!$A:$I,2,0)</f>
        <v>SINAPI</v>
      </c>
      <c r="D31" s="143" t="str">
        <f aca="false">VLOOKUP(B31,INSUMOS!$A:$I,3,0)</f>
        <v>AUXILIAR DE ENCANADOR OU BOMBEIRO HIDRAULICO (HORISTA)</v>
      </c>
      <c r="E31" s="143" t="str">
        <f aca="false">VLOOKUP(B31,INSUMOS!$A:$I,4,0)</f>
        <v>Mão de Obra</v>
      </c>
      <c r="F31" s="143"/>
      <c r="G31" s="145" t="str">
        <f aca="false">VLOOKUP(B31,INSUMOS!$A:$I,5,0)</f>
        <v>H</v>
      </c>
      <c r="H31" s="146" t="n">
        <v>1</v>
      </c>
      <c r="I31" s="147" t="n">
        <f aca="false">VLOOKUP(B31,INSUMOS!$A:$I,8,0)</f>
        <v>13.35</v>
      </c>
      <c r="J31" s="147" t="n">
        <f aca="false">TRUNC(H31*I31,2)</f>
        <v>13.35</v>
      </c>
      <c r="K31" s="217"/>
      <c r="L31" s="176" t="n">
        <f aca="false">IF(AND(A32&lt;&gt;"",A31=""),L30+1,L30)</f>
        <v>2</v>
      </c>
      <c r="M31" s="101" t="n">
        <f aca="false">IF(OR(A31="Insumo",A31="Composição Auxiliar"),J31,"")</f>
        <v>13.35</v>
      </c>
      <c r="N31" s="102" t="n">
        <f aca="false">IF(E31="Mão de Obra",J31,"")</f>
        <v>13.35</v>
      </c>
      <c r="O31" s="102" t="str">
        <f aca="false">IF(N31&lt;&gt;"","",M31)</f>
        <v/>
      </c>
      <c r="P31" s="103" t="str">
        <f aca="false">IF(A31="Composição",B31,"")</f>
        <v/>
      </c>
      <c r="Q31" s="102" t="str">
        <f aca="false">IF(P31&lt;&gt;"",SUMIF(L31:L131,L31,N31:N131),"")</f>
        <v/>
      </c>
      <c r="R31" s="102" t="str">
        <f aca="false">IF(P31&lt;&gt;"",SUMIF(L31:L131,L31,O31:O131),"")</f>
        <v/>
      </c>
    </row>
    <row r="32" customFormat="false" ht="25" hidden="false" customHeight="true" outlineLevel="0" collapsed="false">
      <c r="A32" s="143" t="s">
        <v>128</v>
      </c>
      <c r="B32" s="144" t="s">
        <v>259</v>
      </c>
      <c r="C32" s="143" t="str">
        <f aca="false">VLOOKUP(B32,INSUMOS!$A:$I,2,0)</f>
        <v>SINAPI</v>
      </c>
      <c r="D32" s="143" t="str">
        <f aca="false">VLOOKUP(B32,INSUMOS!$A:$I,3,0)</f>
        <v>EPI - FAMILIA ENCANADOR - HORISTA (ENCARGOS COMPLEMENTARES - COLETADO CAIXA)</v>
      </c>
      <c r="E32" s="143" t="str">
        <f aca="false">VLOOKUP(B32,INSUMOS!$A:$I,4,0)</f>
        <v>Equipamento</v>
      </c>
      <c r="F32" s="143"/>
      <c r="G32" s="145" t="str">
        <f aca="false">VLOOKUP(B32,INSUMOS!$A:$I,5,0)</f>
        <v>H</v>
      </c>
      <c r="H32" s="146" t="n">
        <v>1</v>
      </c>
      <c r="I32" s="147" t="n">
        <f aca="false">VLOOKUP(B32,INSUMOS!$A:$I,8,0)</f>
        <v>0.94</v>
      </c>
      <c r="J32" s="147" t="n">
        <f aca="false">TRUNC(H32*I32,2)</f>
        <v>0.94</v>
      </c>
      <c r="K32" s="217"/>
      <c r="L32" s="176" t="n">
        <f aca="false">IF(AND(A33&lt;&gt;"",A32=""),L31+1,L31)</f>
        <v>2</v>
      </c>
      <c r="M32" s="101" t="n">
        <f aca="false">IF(OR(A32="Insumo",A32="Composição Auxiliar"),J32,"")</f>
        <v>0.94</v>
      </c>
      <c r="N32" s="102" t="str">
        <f aca="false">IF(E32="Mão de Obra",J32,"")</f>
        <v/>
      </c>
      <c r="O32" s="102" t="n">
        <f aca="false">IF(N32&lt;&gt;"","",M32)</f>
        <v>0.94</v>
      </c>
      <c r="P32" s="103" t="str">
        <f aca="false">IF(A32="Composição",B32,"")</f>
        <v/>
      </c>
      <c r="Q32" s="102" t="str">
        <f aca="false">IF(P32&lt;&gt;"",SUMIF(L32:L132,L32,N32:N132),"")</f>
        <v/>
      </c>
      <c r="R32" s="102" t="str">
        <f aca="false">IF(P32&lt;&gt;"",SUMIF(L32:L132,L32,O32:O132),"")</f>
        <v/>
      </c>
    </row>
    <row r="33" customFormat="false" ht="14" hidden="false" customHeight="false" outlineLevel="0" collapsed="false">
      <c r="A33" s="143" t="s">
        <v>128</v>
      </c>
      <c r="B33" s="144" t="s">
        <v>245</v>
      </c>
      <c r="C33" s="143" t="str">
        <f aca="false">VLOOKUP(B33,INSUMOS!$A:$I,2,0)</f>
        <v>SINAPI</v>
      </c>
      <c r="D33" s="143" t="str">
        <f aca="false">VLOOKUP(B33,INSUMOS!$A:$I,3,0)</f>
        <v>EXAMES - HORISTA (COLETADO CAIXA)</v>
      </c>
      <c r="E33" s="143" t="str">
        <f aca="false">VLOOKUP(B33,INSUMOS!$A:$I,4,0)</f>
        <v>Outros</v>
      </c>
      <c r="F33" s="143"/>
      <c r="G33" s="145" t="str">
        <f aca="false">VLOOKUP(B33,INSUMOS!$A:$I,5,0)</f>
        <v>H</v>
      </c>
      <c r="H33" s="146" t="n">
        <v>1</v>
      </c>
      <c r="I33" s="147" t="n">
        <f aca="false">VLOOKUP(B33,INSUMOS!$A:$I,8,0)</f>
        <v>0.81</v>
      </c>
      <c r="J33" s="147" t="n">
        <f aca="false">TRUNC(H33*I33,2)</f>
        <v>0.81</v>
      </c>
      <c r="K33" s="217"/>
      <c r="L33" s="176" t="n">
        <f aca="false">IF(AND(A34&lt;&gt;"",A33=""),L32+1,L32)</f>
        <v>2</v>
      </c>
      <c r="M33" s="101" t="n">
        <f aca="false">IF(OR(A33="Insumo",A33="Composição Auxiliar"),J33,"")</f>
        <v>0.81</v>
      </c>
      <c r="N33" s="102" t="str">
        <f aca="false">IF(E33="Mão de Obra",J33,"")</f>
        <v/>
      </c>
      <c r="O33" s="102" t="n">
        <f aca="false">IF(N33&lt;&gt;"","",M33)</f>
        <v>0.81</v>
      </c>
      <c r="P33" s="103" t="str">
        <f aca="false">IF(A33="Composição",B33,"")</f>
        <v/>
      </c>
      <c r="Q33" s="102" t="str">
        <f aca="false">IF(P33&lt;&gt;"",SUMIF(L33:L133,L33,N33:N133),"")</f>
        <v/>
      </c>
      <c r="R33" s="102" t="str">
        <f aca="false">IF(P33&lt;&gt;"",SUMIF(L33:L133,L33,O33:O133),"")</f>
        <v/>
      </c>
    </row>
    <row r="34" customFormat="false" ht="25" hidden="false" customHeight="false" outlineLevel="0" collapsed="false">
      <c r="A34" s="143" t="s">
        <v>128</v>
      </c>
      <c r="B34" s="144" t="s">
        <v>260</v>
      </c>
      <c r="C34" s="143" t="str">
        <f aca="false">VLOOKUP(B34,INSUMOS!$A:$I,2,0)</f>
        <v>SINAPI</v>
      </c>
      <c r="D34" s="143" t="str">
        <f aca="false">VLOOKUP(B34,INSUMOS!$A:$I,3,0)</f>
        <v>FERRAMENTAS - FAMILIA ENCANADOR - HORISTA (ENCARGOS COMPLEMENTARES - COLETADO CAIXA)</v>
      </c>
      <c r="E34" s="143" t="str">
        <f aca="false">VLOOKUP(B34,INSUMOS!$A:$I,4,0)</f>
        <v>Equipamento</v>
      </c>
      <c r="F34" s="143"/>
      <c r="G34" s="145" t="str">
        <f aca="false">VLOOKUP(B34,INSUMOS!$A:$I,5,0)</f>
        <v>H</v>
      </c>
      <c r="H34" s="146" t="n">
        <v>1</v>
      </c>
      <c r="I34" s="147" t="n">
        <f aca="false">VLOOKUP(B34,INSUMOS!$A:$I,8,0)</f>
        <v>0.32</v>
      </c>
      <c r="J34" s="147" t="n">
        <f aca="false">TRUNC(H34*I34,2)</f>
        <v>0.32</v>
      </c>
      <c r="K34" s="217"/>
      <c r="L34" s="176" t="n">
        <f aca="false">IF(AND(A35&lt;&gt;"",A34=""),L33+1,L33)</f>
        <v>2</v>
      </c>
      <c r="M34" s="101" t="n">
        <f aca="false">IF(OR(A34="Insumo",A34="Composição Auxiliar"),J34,"")</f>
        <v>0.32</v>
      </c>
      <c r="N34" s="102" t="str">
        <f aca="false">IF(E34="Mão de Obra",J34,"")</f>
        <v/>
      </c>
      <c r="O34" s="102" t="n">
        <f aca="false">IF(N34&lt;&gt;"","",M34)</f>
        <v>0.32</v>
      </c>
      <c r="P34" s="103" t="str">
        <f aca="false">IF(A34="Composição",B34,"")</f>
        <v/>
      </c>
      <c r="Q34" s="102" t="str">
        <f aca="false">IF(P34&lt;&gt;"",SUMIF(L34:L134,L34,N34:N134),"")</f>
        <v/>
      </c>
      <c r="R34" s="102" t="str">
        <f aca="false">IF(P34&lt;&gt;"",SUMIF(L34:L134,L34,O34:O134),"")</f>
        <v/>
      </c>
    </row>
    <row r="35" customFormat="false" ht="14" hidden="false" customHeight="false" outlineLevel="0" collapsed="false">
      <c r="A35" s="143" t="s">
        <v>128</v>
      </c>
      <c r="B35" s="144" t="s">
        <v>247</v>
      </c>
      <c r="C35" s="143" t="str">
        <f aca="false">VLOOKUP(B35,INSUMOS!$A:$I,2,0)</f>
        <v>SINAPI</v>
      </c>
      <c r="D35" s="143" t="str">
        <f aca="false">VLOOKUP(B35,INSUMOS!$A:$I,3,0)</f>
        <v>SEGURO - HORISTA (COLETADO CAIXA)</v>
      </c>
      <c r="E35" s="143" t="str">
        <f aca="false">VLOOKUP(B35,INSUMOS!$A:$I,4,0)</f>
        <v>Taxas</v>
      </c>
      <c r="F35" s="143"/>
      <c r="G35" s="145" t="str">
        <f aca="false">VLOOKUP(B35,INSUMOS!$A:$I,5,0)</f>
        <v>H</v>
      </c>
      <c r="H35" s="146" t="n">
        <v>1</v>
      </c>
      <c r="I35" s="147" t="n">
        <f aca="false">VLOOKUP(B35,INSUMOS!$A:$I,8,0)</f>
        <v>0.06</v>
      </c>
      <c r="J35" s="147" t="n">
        <f aca="false">TRUNC(H35*I35,2)</f>
        <v>0.06</v>
      </c>
      <c r="K35" s="217"/>
      <c r="L35" s="176" t="n">
        <f aca="false">IF(AND(A36&lt;&gt;"",A35=""),L34+1,L34)</f>
        <v>2</v>
      </c>
      <c r="M35" s="101" t="n">
        <f aca="false">IF(OR(A35="Insumo",A35="Composição Auxiliar"),J35,"")</f>
        <v>0.06</v>
      </c>
      <c r="N35" s="102" t="str">
        <f aca="false">IF(E35="Mão de Obra",J35,"")</f>
        <v/>
      </c>
      <c r="O35" s="102" t="n">
        <f aca="false">IF(N35&lt;&gt;"","",M35)</f>
        <v>0.06</v>
      </c>
      <c r="P35" s="103" t="str">
        <f aca="false">IF(A35="Composição",B35,"")</f>
        <v/>
      </c>
      <c r="Q35" s="102" t="str">
        <f aca="false">IF(P35&lt;&gt;"",SUMIF(L35:L135,L35,N35:N135),"")</f>
        <v/>
      </c>
      <c r="R35" s="102" t="str">
        <f aca="false">IF(P35&lt;&gt;"",SUMIF(L35:L135,L35,O35:O135),"")</f>
        <v/>
      </c>
    </row>
    <row r="36" customFormat="false" ht="14" hidden="false" customHeight="false" outlineLevel="0" collapsed="false">
      <c r="A36" s="143" t="s">
        <v>128</v>
      </c>
      <c r="B36" s="144" t="s">
        <v>255</v>
      </c>
      <c r="C36" s="143" t="str">
        <f aca="false">VLOOKUP(B36,INSUMOS!$A:$I,2,0)</f>
        <v>SINAPI</v>
      </c>
      <c r="D36" s="143" t="str">
        <f aca="false">VLOOKUP(B36,INSUMOS!$A:$I,3,0)</f>
        <v>TRANSPORTE - HORISTA (COLETADO CAIXA)</v>
      </c>
      <c r="E36" s="143" t="str">
        <f aca="false">VLOOKUP(B36,INSUMOS!$A:$I,4,0)</f>
        <v>Serviços</v>
      </c>
      <c r="F36" s="143"/>
      <c r="G36" s="145" t="str">
        <f aca="false">VLOOKUP(B36,INSUMOS!$A:$I,5,0)</f>
        <v>H</v>
      </c>
      <c r="H36" s="146" t="n">
        <v>1</v>
      </c>
      <c r="I36" s="147" t="n">
        <f aca="false">VLOOKUP(B36,INSUMOS!$A:$I,8,0)</f>
        <v>0.75</v>
      </c>
      <c r="J36" s="147" t="n">
        <f aca="false">TRUNC(H36*I36,2)</f>
        <v>0.75</v>
      </c>
      <c r="K36" s="217"/>
      <c r="L36" s="176" t="n">
        <f aca="false">IF(AND(A37&lt;&gt;"",A36=""),L35+1,L35)</f>
        <v>2</v>
      </c>
      <c r="M36" s="101" t="n">
        <f aca="false">IF(OR(A36="Insumo",A36="Composição Auxiliar"),J36,"")</f>
        <v>0.75</v>
      </c>
      <c r="N36" s="102" t="str">
        <f aca="false">IF(E36="Mão de Obra",J36,"")</f>
        <v/>
      </c>
      <c r="O36" s="102" t="n">
        <f aca="false">IF(N36&lt;&gt;"","",M36)</f>
        <v>0.75</v>
      </c>
      <c r="P36" s="103" t="str">
        <f aca="false">IF(A36="Composição",B36,"")</f>
        <v/>
      </c>
      <c r="Q36" s="102" t="str">
        <f aca="false">IF(P36&lt;&gt;"",SUMIF(L36:L136,L36,N36:N136),"")</f>
        <v/>
      </c>
      <c r="R36" s="102" t="str">
        <f aca="false">IF(P36&lt;&gt;"",SUMIF(L36:L136,L36,O36:O136),"")</f>
        <v/>
      </c>
    </row>
    <row r="37" customFormat="false" ht="14.15" hidden="false" customHeight="true" outlineLevel="0" collapsed="false">
      <c r="A37" s="149"/>
      <c r="B37" s="149"/>
      <c r="C37" s="149"/>
      <c r="D37" s="149"/>
      <c r="E37" s="149"/>
      <c r="F37" s="150"/>
      <c r="G37" s="149"/>
      <c r="H37" s="150"/>
      <c r="I37" s="149"/>
      <c r="J37" s="150"/>
      <c r="K37" s="217"/>
      <c r="L37" s="176" t="n">
        <f aca="false">IF(AND(A38&lt;&gt;"",A37=""),L36+1,L36)</f>
        <v>2</v>
      </c>
      <c r="M37" s="101" t="str">
        <f aca="false">IF(OR(A37="Insumo",A37="Composição Auxiliar"),J37,"")</f>
        <v/>
      </c>
      <c r="N37" s="102" t="str">
        <f aca="false">IF(E37="Mão de Obra",J37,"")</f>
        <v/>
      </c>
      <c r="O37" s="102" t="str">
        <f aca="false">IF(N37&lt;&gt;"","",M37)</f>
        <v/>
      </c>
      <c r="P37" s="103" t="str">
        <f aca="false">IF(A37="Composição",B37,"")</f>
        <v/>
      </c>
      <c r="Q37" s="102" t="str">
        <f aca="false">IF(P37&lt;&gt;"",SUMIF(L37:L137,L37,N37:N137),"")</f>
        <v/>
      </c>
      <c r="R37" s="102" t="str">
        <f aca="false">IF(P37&lt;&gt;"",SUMIF(L37:L137,L37,O37:O137),"")</f>
        <v/>
      </c>
    </row>
    <row r="38" customFormat="false" ht="14.5" hidden="false" customHeight="false" outlineLevel="0" collapsed="false">
      <c r="A38" s="149"/>
      <c r="B38" s="149"/>
      <c r="C38" s="149"/>
      <c r="D38" s="149"/>
      <c r="E38" s="149"/>
      <c r="F38" s="150"/>
      <c r="G38" s="149"/>
      <c r="H38" s="151"/>
      <c r="I38" s="151"/>
      <c r="J38" s="150"/>
      <c r="K38" s="217"/>
      <c r="L38" s="176" t="n">
        <f aca="false">IF(AND(A39&lt;&gt;"",A38=""),L37+1,L37)</f>
        <v>2</v>
      </c>
      <c r="M38" s="101" t="str">
        <f aca="false">IF(OR(A38="Insumo",A38="Composição Auxiliar"),J38,"")</f>
        <v/>
      </c>
      <c r="N38" s="102" t="str">
        <f aca="false">IF(E38="Mão de Obra",J38,"")</f>
        <v/>
      </c>
      <c r="O38" s="102" t="str">
        <f aca="false">IF(N38&lt;&gt;"","",M38)</f>
        <v/>
      </c>
      <c r="P38" s="103" t="str">
        <f aca="false">IF(A38="Composição",B38,"")</f>
        <v/>
      </c>
      <c r="Q38" s="102" t="str">
        <f aca="false">IF(P38&lt;&gt;"",SUMIF(L38:L138,L38,N38:N138),"")</f>
        <v/>
      </c>
      <c r="R38" s="102" t="str">
        <f aca="false">IF(P38&lt;&gt;"",SUMIF(L38:L138,L38,O38:O138),"")</f>
        <v/>
      </c>
    </row>
    <row r="39" customFormat="false" ht="25" hidden="false" customHeight="true" outlineLevel="0" collapsed="false">
      <c r="A39" s="155"/>
      <c r="B39" s="155"/>
      <c r="C39" s="155"/>
      <c r="D39" s="155"/>
      <c r="E39" s="155"/>
      <c r="F39" s="155"/>
      <c r="G39" s="155"/>
      <c r="H39" s="155"/>
      <c r="I39" s="155"/>
      <c r="J39" s="155"/>
      <c r="K39" s="217"/>
      <c r="L39" s="176" t="n">
        <f aca="false">IF(AND(A40&lt;&gt;"",A39=""),L38+1,L38)</f>
        <v>2</v>
      </c>
      <c r="M39" s="101" t="str">
        <f aca="false">IF(OR(A39="Insumo",A39="Composição Auxiliar"),J39,"")</f>
        <v/>
      </c>
      <c r="N39" s="102" t="str">
        <f aca="false">IF(E39="Mão de Obra",J39,"")</f>
        <v/>
      </c>
      <c r="O39" s="102" t="str">
        <f aca="false">IF(N39&lt;&gt;"","",M39)</f>
        <v/>
      </c>
      <c r="P39" s="103" t="str">
        <f aca="false">IF(A39="Composição",B39,"")</f>
        <v/>
      </c>
      <c r="Q39" s="102" t="str">
        <f aca="false">IF(P39&lt;&gt;"",SUMIF(L39:L139,L39,N39:N139),"")</f>
        <v/>
      </c>
      <c r="R39" s="102" t="str">
        <f aca="false">IF(P39&lt;&gt;"",SUMIF(L39:L139,L39,O39:O139),"")</f>
        <v/>
      </c>
      <c r="Y39" s="218"/>
      <c r="Z39" s="218"/>
      <c r="AA39" s="218"/>
      <c r="AB39" s="218"/>
      <c r="AC39" s="218"/>
    </row>
    <row r="40" customFormat="false" ht="14" hidden="false" customHeight="true" outlineLevel="0" collapsed="false">
      <c r="A40" s="118"/>
      <c r="B40" s="119" t="s">
        <v>115</v>
      </c>
      <c r="C40" s="118" t="s">
        <v>116</v>
      </c>
      <c r="D40" s="118" t="s">
        <v>117</v>
      </c>
      <c r="E40" s="118" t="s">
        <v>118</v>
      </c>
      <c r="F40" s="118"/>
      <c r="G40" s="120" t="s">
        <v>119</v>
      </c>
      <c r="H40" s="119" t="s">
        <v>120</v>
      </c>
      <c r="I40" s="119" t="s">
        <v>130</v>
      </c>
      <c r="J40" s="119" t="s">
        <v>131</v>
      </c>
      <c r="K40" s="217"/>
      <c r="L40" s="176" t="n">
        <f aca="false">IF(AND(A41&lt;&gt;"",A40=""),L39+1,L39)</f>
        <v>3</v>
      </c>
      <c r="M40" s="101" t="str">
        <f aca="false">IF(OR(A40="Insumo",A40="Composição Auxiliar"),J40,"")</f>
        <v/>
      </c>
      <c r="N40" s="102" t="str">
        <f aca="false">IF(E40="Mão de Obra",J40,"")</f>
        <v/>
      </c>
      <c r="O40" s="102" t="str">
        <f aca="false">IF(N40&lt;&gt;"","",M40)</f>
        <v/>
      </c>
      <c r="P40" s="103" t="str">
        <f aca="false">IF(A40="Composição",B40,"")</f>
        <v/>
      </c>
      <c r="Q40" s="102" t="str">
        <f aca="false">IF(P40&lt;&gt;"",SUMIF(L40:L140,L40,N40:N140),"")</f>
        <v/>
      </c>
      <c r="R40" s="102" t="str">
        <f aca="false">IF(P40&lt;&gt;"",SUMIF(L40:L140,L40,O40:O140),"")</f>
        <v/>
      </c>
      <c r="Y40" s="218"/>
      <c r="Z40" s="218"/>
      <c r="AA40" s="218"/>
      <c r="AB40" s="218"/>
      <c r="AC40" s="218"/>
    </row>
    <row r="41" customFormat="false" ht="37.5" hidden="false" customHeight="true" outlineLevel="0" collapsed="false">
      <c r="A41" s="122" t="s">
        <v>121</v>
      </c>
      <c r="B41" s="55" t="s">
        <v>261</v>
      </c>
      <c r="C41" s="122" t="s">
        <v>122</v>
      </c>
      <c r="D41" s="122" t="s">
        <v>262</v>
      </c>
      <c r="E41" s="122" t="s">
        <v>161</v>
      </c>
      <c r="F41" s="122"/>
      <c r="G41" s="123" t="s">
        <v>162</v>
      </c>
      <c r="H41" s="124" t="n">
        <v>1</v>
      </c>
      <c r="I41" s="125" t="n">
        <f aca="false">SUMIF(L:L,$L41,M:M)</f>
        <v>0.34</v>
      </c>
      <c r="J41" s="125" t="n">
        <f aca="false">TRUNC(H41*I41,2)</f>
        <v>0.34</v>
      </c>
      <c r="K41" s="217"/>
      <c r="L41" s="176" t="n">
        <f aca="false">IF(AND(A42&lt;&gt;"",A41=""),L40+1,L40)</f>
        <v>3</v>
      </c>
      <c r="M41" s="101" t="str">
        <f aca="false">IF(OR(A41="Insumo",A41="Composição Auxiliar"),J41,"")</f>
        <v/>
      </c>
      <c r="N41" s="102" t="str">
        <f aca="false">IF(E41="Mão de Obra",J41,"")</f>
        <v/>
      </c>
      <c r="O41" s="102" t="str">
        <f aca="false">IF(N41&lt;&gt;"","",M41)</f>
        <v/>
      </c>
      <c r="P41" s="103" t="str">
        <f aca="false">IF(A41="Composição",B41,"")</f>
        <v> 88831 </v>
      </c>
      <c r="Q41" s="102" t="n">
        <f aca="false">IF(P41&lt;&gt;"",SUMIF(L41:L141,L41,N41:N141),"")</f>
        <v>0</v>
      </c>
      <c r="R41" s="102" t="n">
        <f aca="false">IF(P41&lt;&gt;"",SUMIF(L41:L141,L41,O41:O141),"")</f>
        <v>0.34</v>
      </c>
      <c r="Y41" s="218"/>
      <c r="Z41" s="218"/>
      <c r="AA41" s="218"/>
      <c r="AB41" s="218"/>
      <c r="AC41" s="218"/>
    </row>
    <row r="42" customFormat="false" ht="25" hidden="false" customHeight="true" outlineLevel="0" collapsed="false">
      <c r="A42" s="129" t="s">
        <v>126</v>
      </c>
      <c r="B42" s="130" t="s">
        <v>263</v>
      </c>
      <c r="C42" s="129" t="s">
        <v>122</v>
      </c>
      <c r="D42" s="129" t="s">
        <v>264</v>
      </c>
      <c r="E42" s="129" t="s">
        <v>161</v>
      </c>
      <c r="F42" s="129"/>
      <c r="G42" s="131" t="s">
        <v>125</v>
      </c>
      <c r="H42" s="132" t="n">
        <v>1</v>
      </c>
      <c r="I42" s="133" t="n">
        <f aca="false">SUMIFS(J:J,A:A,"Composição",B:B,$B42)</f>
        <v>0.03</v>
      </c>
      <c r="J42" s="133" t="n">
        <f aca="false">TRUNC(H42*I42,2)</f>
        <v>0.03</v>
      </c>
      <c r="K42" s="217"/>
      <c r="L42" s="176" t="n">
        <f aca="false">IF(AND(A43&lt;&gt;"",A42=""),L41+1,L41)</f>
        <v>3</v>
      </c>
      <c r="M42" s="101" t="n">
        <f aca="false">IF(OR(A42="Insumo",A42="Composição Auxiliar"),J42,"")</f>
        <v>0.03</v>
      </c>
      <c r="N42" s="102" t="str">
        <f aca="false">IF(E42="Mão de Obra",J42,"")</f>
        <v/>
      </c>
      <c r="O42" s="102" t="n">
        <f aca="false">IF(N42&lt;&gt;"","",M42)</f>
        <v>0.03</v>
      </c>
      <c r="P42" s="103" t="str">
        <f aca="false">IF(A42="Composição",B42,"")</f>
        <v/>
      </c>
      <c r="Q42" s="102" t="str">
        <f aca="false">IF(P42&lt;&gt;"",SUMIF(L42:L142,L42,N42:N142),"")</f>
        <v/>
      </c>
      <c r="R42" s="102" t="str">
        <f aca="false">IF(P42&lt;&gt;"",SUMIF(L42:L142,L42,O42:O142),"")</f>
        <v/>
      </c>
      <c r="Y42" s="218"/>
      <c r="Z42" s="218"/>
      <c r="AA42" s="218"/>
      <c r="AB42" s="218"/>
      <c r="AC42" s="218"/>
    </row>
    <row r="43" customFormat="false" ht="37.5" hidden="false" customHeight="true" outlineLevel="0" collapsed="false">
      <c r="A43" s="129" t="s">
        <v>126</v>
      </c>
      <c r="B43" s="130" t="s">
        <v>265</v>
      </c>
      <c r="C43" s="129" t="s">
        <v>122</v>
      </c>
      <c r="D43" s="129" t="s">
        <v>266</v>
      </c>
      <c r="E43" s="129" t="s">
        <v>161</v>
      </c>
      <c r="F43" s="129"/>
      <c r="G43" s="131" t="s">
        <v>125</v>
      </c>
      <c r="H43" s="132" t="n">
        <v>1</v>
      </c>
      <c r="I43" s="133" t="n">
        <f aca="false">SUMIFS(J:J,A:A,"Composição",B:B,$B43)</f>
        <v>0.31</v>
      </c>
      <c r="J43" s="133" t="n">
        <f aca="false">TRUNC(H43*I43,2)</f>
        <v>0.31</v>
      </c>
      <c r="K43" s="217"/>
      <c r="L43" s="176" t="n">
        <f aca="false">IF(AND(A44&lt;&gt;"",A43=""),L42+1,L42)</f>
        <v>3</v>
      </c>
      <c r="M43" s="101" t="n">
        <f aca="false">IF(OR(A43="Insumo",A43="Composição Auxiliar"),J43,"")</f>
        <v>0.31</v>
      </c>
      <c r="N43" s="102" t="str">
        <f aca="false">IF(E43="Mão de Obra",J43,"")</f>
        <v/>
      </c>
      <c r="O43" s="102" t="n">
        <f aca="false">IF(N43&lt;&gt;"","",M43)</f>
        <v>0.31</v>
      </c>
      <c r="P43" s="103" t="str">
        <f aca="false">IF(A43="Composição",B43,"")</f>
        <v/>
      </c>
      <c r="Q43" s="102" t="str">
        <f aca="false">IF(P43&lt;&gt;"",SUMIF(L43:L143,L43,N43:N143),"")</f>
        <v/>
      </c>
      <c r="R43" s="102" t="str">
        <f aca="false">IF(P43&lt;&gt;"",SUMIF(L43:L143,L43,O43:O143),"")</f>
        <v/>
      </c>
      <c r="Y43" s="218"/>
      <c r="Z43" s="218"/>
      <c r="AA43" s="218"/>
      <c r="AB43" s="218"/>
      <c r="AC43" s="218"/>
    </row>
    <row r="44" customFormat="false" ht="25" hidden="false" customHeight="true" outlineLevel="0" collapsed="false">
      <c r="A44" s="149"/>
      <c r="B44" s="149"/>
      <c r="C44" s="149"/>
      <c r="D44" s="149"/>
      <c r="E44" s="149"/>
      <c r="F44" s="150"/>
      <c r="G44" s="149"/>
      <c r="H44" s="150"/>
      <c r="I44" s="149"/>
      <c r="J44" s="150"/>
      <c r="K44" s="217"/>
      <c r="L44" s="176" t="n">
        <f aca="false">IF(AND(A45&lt;&gt;"",A44=""),L43+1,L43)</f>
        <v>3</v>
      </c>
      <c r="M44" s="101" t="str">
        <f aca="false">IF(OR(A44="Insumo",A44="Composição Auxiliar"),J44,"")</f>
        <v/>
      </c>
      <c r="N44" s="102" t="str">
        <f aca="false">IF(E44="Mão de Obra",J44,"")</f>
        <v/>
      </c>
      <c r="O44" s="102" t="str">
        <f aca="false">IF(N44&lt;&gt;"","",M44)</f>
        <v/>
      </c>
      <c r="P44" s="103" t="str">
        <f aca="false">IF(A44="Composição",B44,"")</f>
        <v/>
      </c>
      <c r="Q44" s="102" t="str">
        <f aca="false">IF(P44&lt;&gt;"",SUMIF(L44:L144,L44,N44:N144),"")</f>
        <v/>
      </c>
      <c r="R44" s="102" t="str">
        <f aca="false">IF(P44&lt;&gt;"",SUMIF(L44:L144,L44,O44:O144),"")</f>
        <v/>
      </c>
      <c r="Y44" s="218"/>
      <c r="Z44" s="218"/>
      <c r="AA44" s="218"/>
      <c r="AB44" s="218"/>
      <c r="AC44" s="218"/>
    </row>
    <row r="45" customFormat="false" ht="25" hidden="false" customHeight="true" outlineLevel="0" collapsed="false">
      <c r="A45" s="149"/>
      <c r="B45" s="149"/>
      <c r="C45" s="149"/>
      <c r="D45" s="149"/>
      <c r="E45" s="149"/>
      <c r="F45" s="150"/>
      <c r="G45" s="149"/>
      <c r="H45" s="151"/>
      <c r="I45" s="151"/>
      <c r="J45" s="150"/>
      <c r="K45" s="217"/>
      <c r="L45" s="176" t="n">
        <f aca="false">IF(AND(A46&lt;&gt;"",A45=""),L44+1,L44)</f>
        <v>3</v>
      </c>
      <c r="M45" s="101" t="str">
        <f aca="false">IF(OR(A45="Insumo",A45="Composição Auxiliar"),J45,"")</f>
        <v/>
      </c>
      <c r="N45" s="102" t="str">
        <f aca="false">IF(E45="Mão de Obra",J45,"")</f>
        <v/>
      </c>
      <c r="O45" s="102" t="str">
        <f aca="false">IF(N45&lt;&gt;"","",M45)</f>
        <v/>
      </c>
      <c r="P45" s="103" t="str">
        <f aca="false">IF(A45="Composição",B45,"")</f>
        <v/>
      </c>
      <c r="Q45" s="102" t="str">
        <f aca="false">IF(P45&lt;&gt;"",SUMIF(L45:L145,L45,N45:N145),"")</f>
        <v/>
      </c>
      <c r="R45" s="102" t="str">
        <f aca="false">IF(P45&lt;&gt;"",SUMIF(L45:L145,L45,O45:O145),"")</f>
        <v/>
      </c>
      <c r="Y45" s="218"/>
      <c r="Z45" s="218"/>
      <c r="AA45" s="218"/>
      <c r="AB45" s="218"/>
      <c r="AC45" s="218"/>
    </row>
    <row r="46" customFormat="false" ht="14.5" hidden="false" customHeight="false" outlineLevel="0" collapsed="false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217"/>
      <c r="L46" s="176" t="n">
        <f aca="false">IF(AND(A47&lt;&gt;"",A46=""),L45+1,L45)</f>
        <v>3</v>
      </c>
      <c r="M46" s="101" t="str">
        <f aca="false">IF(OR(A46="Insumo",A46="Composição Auxiliar"),J46,"")</f>
        <v/>
      </c>
      <c r="N46" s="102" t="str">
        <f aca="false">IF(E46="Mão de Obra",J46,"")</f>
        <v/>
      </c>
      <c r="O46" s="102" t="str">
        <f aca="false">IF(N46&lt;&gt;"","",M46)</f>
        <v/>
      </c>
      <c r="P46" s="103" t="str">
        <f aca="false">IF(A46="Composição",B46,"")</f>
        <v/>
      </c>
      <c r="Q46" s="102" t="str">
        <f aca="false">IF(P46&lt;&gt;"",SUMIF(L46:L146,L46,N46:N146),"")</f>
        <v/>
      </c>
      <c r="R46" s="102" t="str">
        <f aca="false">IF(P46&lt;&gt;"",SUMIF(L46:L146,L46,O46:O146),"")</f>
        <v/>
      </c>
      <c r="Y46" s="218"/>
      <c r="Z46" s="218"/>
      <c r="AA46" s="218"/>
      <c r="AB46" s="218"/>
      <c r="AC46" s="218"/>
    </row>
    <row r="47" customFormat="false" ht="14" hidden="false" customHeight="true" outlineLevel="0" collapsed="false">
      <c r="A47" s="118"/>
      <c r="B47" s="119" t="s">
        <v>115</v>
      </c>
      <c r="C47" s="118" t="s">
        <v>116</v>
      </c>
      <c r="D47" s="118" t="s">
        <v>117</v>
      </c>
      <c r="E47" s="118" t="s">
        <v>118</v>
      </c>
      <c r="F47" s="118"/>
      <c r="G47" s="120" t="s">
        <v>119</v>
      </c>
      <c r="H47" s="119" t="s">
        <v>120</v>
      </c>
      <c r="I47" s="119" t="s">
        <v>130</v>
      </c>
      <c r="J47" s="119" t="s">
        <v>131</v>
      </c>
      <c r="K47" s="217"/>
      <c r="L47" s="176" t="n">
        <f aca="false">IF(AND(A48&lt;&gt;"",A47=""),L46+1,L46)</f>
        <v>4</v>
      </c>
      <c r="M47" s="101" t="str">
        <f aca="false">IF(OR(A47="Insumo",A47="Composição Auxiliar"),J47,"")</f>
        <v/>
      </c>
      <c r="N47" s="102" t="str">
        <f aca="false">IF(E47="Mão de Obra",J47,"")</f>
        <v/>
      </c>
      <c r="O47" s="102" t="str">
        <f aca="false">IF(N47&lt;&gt;"","",M47)</f>
        <v/>
      </c>
      <c r="P47" s="103" t="str">
        <f aca="false">IF(A47="Composição",B47,"")</f>
        <v/>
      </c>
      <c r="Q47" s="102" t="str">
        <f aca="false">IF(P47&lt;&gt;"",SUMIF(L47:L147,L47,N47:N147),"")</f>
        <v/>
      </c>
      <c r="R47" s="102" t="str">
        <f aca="false">IF(P47&lt;&gt;"",SUMIF(L47:L147,L47,O47:O147),"")</f>
        <v/>
      </c>
      <c r="Y47" s="218"/>
      <c r="Z47" s="218"/>
      <c r="AA47" s="218"/>
      <c r="AB47" s="218"/>
      <c r="AC47" s="218"/>
    </row>
    <row r="48" customFormat="false" ht="37.5" hidden="false" customHeight="true" outlineLevel="0" collapsed="false">
      <c r="A48" s="122" t="s">
        <v>121</v>
      </c>
      <c r="B48" s="55" t="s">
        <v>267</v>
      </c>
      <c r="C48" s="122" t="s">
        <v>122</v>
      </c>
      <c r="D48" s="122" t="s">
        <v>268</v>
      </c>
      <c r="E48" s="122" t="s">
        <v>161</v>
      </c>
      <c r="F48" s="122"/>
      <c r="G48" s="123" t="s">
        <v>165</v>
      </c>
      <c r="H48" s="124" t="n">
        <v>1</v>
      </c>
      <c r="I48" s="125" t="n">
        <f aca="false">SUMIF(L:L,$L48,M:M)</f>
        <v>2.11</v>
      </c>
      <c r="J48" s="125" t="n">
        <f aca="false">TRUNC(H48*I48,2)</f>
        <v>2.11</v>
      </c>
      <c r="K48" s="217"/>
      <c r="L48" s="176" t="n">
        <f aca="false">IF(AND(A49&lt;&gt;"",A48=""),L47+1,L47)</f>
        <v>4</v>
      </c>
      <c r="M48" s="101" t="str">
        <f aca="false">IF(OR(A48="Insumo",A48="Composição Auxiliar"),J48,"")</f>
        <v/>
      </c>
      <c r="N48" s="102" t="str">
        <f aca="false">IF(E48="Mão de Obra",J48,"")</f>
        <v/>
      </c>
      <c r="O48" s="102" t="str">
        <f aca="false">IF(N48&lt;&gt;"","",M48)</f>
        <v/>
      </c>
      <c r="P48" s="103" t="str">
        <f aca="false">IF(A48="Composição",B48,"")</f>
        <v> 88830 </v>
      </c>
      <c r="Q48" s="102" t="n">
        <f aca="false">IF(P48&lt;&gt;"",SUMIF(L48:L148,L48,N48:N148),"")</f>
        <v>0</v>
      </c>
      <c r="R48" s="102" t="n">
        <f aca="false">IF(P48&lt;&gt;"",SUMIF(L48:L148,L48,O48:O148),"")</f>
        <v>2.11</v>
      </c>
      <c r="Y48" s="218"/>
      <c r="Z48" s="218"/>
      <c r="AA48" s="218"/>
      <c r="AB48" s="218"/>
      <c r="AC48" s="218"/>
    </row>
    <row r="49" customFormat="false" ht="37.5" hidden="false" customHeight="true" outlineLevel="0" collapsed="false">
      <c r="A49" s="129" t="s">
        <v>126</v>
      </c>
      <c r="B49" s="130" t="s">
        <v>263</v>
      </c>
      <c r="C49" s="129" t="s">
        <v>122</v>
      </c>
      <c r="D49" s="129" t="s">
        <v>264</v>
      </c>
      <c r="E49" s="129" t="s">
        <v>161</v>
      </c>
      <c r="F49" s="129"/>
      <c r="G49" s="131" t="s">
        <v>125</v>
      </c>
      <c r="H49" s="132" t="n">
        <v>1</v>
      </c>
      <c r="I49" s="133" t="n">
        <f aca="false">SUMIFS(J:J,A:A,"Composição",B:B,$B49)</f>
        <v>0.03</v>
      </c>
      <c r="J49" s="133" t="n">
        <f aca="false">TRUNC(H49*I49,2)</f>
        <v>0.03</v>
      </c>
      <c r="K49" s="217"/>
      <c r="L49" s="176" t="n">
        <f aca="false">IF(AND(A50&lt;&gt;"",A49=""),L48+1,L48)</f>
        <v>4</v>
      </c>
      <c r="M49" s="101" t="n">
        <f aca="false">IF(OR(A49="Insumo",A49="Composição Auxiliar"),J49,"")</f>
        <v>0.03</v>
      </c>
      <c r="N49" s="102" t="str">
        <f aca="false">IF(E49="Mão de Obra",J49,"")</f>
        <v/>
      </c>
      <c r="O49" s="102" t="n">
        <f aca="false">IF(N49&lt;&gt;"","",M49)</f>
        <v>0.03</v>
      </c>
      <c r="P49" s="103" t="str">
        <f aca="false">IF(A49="Composição",B49,"")</f>
        <v/>
      </c>
      <c r="Q49" s="102" t="str">
        <f aca="false">IF(P49&lt;&gt;"",SUMIF(L49:L149,L49,N49:N149),"")</f>
        <v/>
      </c>
      <c r="R49" s="102" t="str">
        <f aca="false">IF(P49&lt;&gt;"",SUMIF(L49:L149,L49,O49:O149),"")</f>
        <v/>
      </c>
      <c r="Y49" s="218"/>
      <c r="Z49" s="218"/>
      <c r="AA49" s="218"/>
      <c r="AB49" s="218"/>
      <c r="AC49" s="218"/>
    </row>
    <row r="50" customFormat="false" ht="14.15" hidden="false" customHeight="true" outlineLevel="0" collapsed="false">
      <c r="A50" s="129" t="s">
        <v>126</v>
      </c>
      <c r="B50" s="130" t="s">
        <v>269</v>
      </c>
      <c r="C50" s="129" t="s">
        <v>122</v>
      </c>
      <c r="D50" s="129" t="s">
        <v>270</v>
      </c>
      <c r="E50" s="129" t="s">
        <v>161</v>
      </c>
      <c r="F50" s="129"/>
      <c r="G50" s="131" t="s">
        <v>125</v>
      </c>
      <c r="H50" s="132" t="n">
        <v>1</v>
      </c>
      <c r="I50" s="133" t="n">
        <f aca="false">SUMIFS(J:J,A:A,"Composição",B:B,$B50)</f>
        <v>0.34</v>
      </c>
      <c r="J50" s="133" t="n">
        <f aca="false">TRUNC(H50*I50,2)</f>
        <v>0.34</v>
      </c>
      <c r="K50" s="217"/>
      <c r="L50" s="176" t="n">
        <f aca="false">IF(AND(A51&lt;&gt;"",A50=""),L49+1,L49)</f>
        <v>4</v>
      </c>
      <c r="M50" s="101" t="n">
        <f aca="false">IF(OR(A50="Insumo",A50="Composição Auxiliar"),J50,"")</f>
        <v>0.34</v>
      </c>
      <c r="N50" s="102" t="str">
        <f aca="false">IF(E50="Mão de Obra",J50,"")</f>
        <v/>
      </c>
      <c r="O50" s="102" t="n">
        <f aca="false">IF(N50&lt;&gt;"","",M50)</f>
        <v>0.34</v>
      </c>
      <c r="P50" s="103" t="str">
        <f aca="false">IF(A50="Composição",B50,"")</f>
        <v/>
      </c>
      <c r="Q50" s="102" t="str">
        <f aca="false">IF(P50&lt;&gt;"",SUMIF(L50:L150,L50,N50:N150),"")</f>
        <v/>
      </c>
      <c r="R50" s="102" t="str">
        <f aca="false">IF(P50&lt;&gt;"",SUMIF(L50:L150,L50,O50:O150),"")</f>
        <v/>
      </c>
    </row>
    <row r="51" customFormat="false" ht="37.5" hidden="false" customHeight="true" outlineLevel="0" collapsed="false">
      <c r="A51" s="129" t="s">
        <v>126</v>
      </c>
      <c r="B51" s="130" t="s">
        <v>271</v>
      </c>
      <c r="C51" s="129" t="s">
        <v>122</v>
      </c>
      <c r="D51" s="129" t="s">
        <v>272</v>
      </c>
      <c r="E51" s="129" t="s">
        <v>161</v>
      </c>
      <c r="F51" s="129"/>
      <c r="G51" s="131" t="s">
        <v>125</v>
      </c>
      <c r="H51" s="132" t="n">
        <v>1</v>
      </c>
      <c r="I51" s="133" t="n">
        <f aca="false">SUMIFS(J:J,A:A,"Composição",B:B,$B51)</f>
        <v>1.43</v>
      </c>
      <c r="J51" s="133" t="n">
        <f aca="false">TRUNC(H51*I51,2)</f>
        <v>1.43</v>
      </c>
      <c r="K51" s="217"/>
      <c r="L51" s="176" t="n">
        <f aca="false">IF(AND(A52&lt;&gt;"",A51=""),L50+1,L50)</f>
        <v>4</v>
      </c>
      <c r="M51" s="101" t="n">
        <f aca="false">IF(OR(A51="Insumo",A51="Composição Auxiliar"),J51,"")</f>
        <v>1.43</v>
      </c>
      <c r="N51" s="102" t="str">
        <f aca="false">IF(E51="Mão de Obra",J51,"")</f>
        <v/>
      </c>
      <c r="O51" s="102" t="n">
        <f aca="false">IF(N51&lt;&gt;"","",M51)</f>
        <v>1.43</v>
      </c>
      <c r="P51" s="103" t="str">
        <f aca="false">IF(A51="Composição",B51,"")</f>
        <v/>
      </c>
      <c r="Q51" s="102" t="str">
        <f aca="false">IF(P51&lt;&gt;"",SUMIF(L51:L151,L51,N51:N151),"")</f>
        <v/>
      </c>
      <c r="R51" s="102" t="str">
        <f aca="false">IF(P51&lt;&gt;"",SUMIF(L51:L151,L51,O51:O151),"")</f>
        <v/>
      </c>
    </row>
    <row r="52" customFormat="false" ht="37.5" hidden="false" customHeight="true" outlineLevel="0" collapsed="false">
      <c r="A52" s="129" t="s">
        <v>126</v>
      </c>
      <c r="B52" s="130" t="s">
        <v>265</v>
      </c>
      <c r="C52" s="129" t="s">
        <v>122</v>
      </c>
      <c r="D52" s="129" t="s">
        <v>266</v>
      </c>
      <c r="E52" s="129" t="s">
        <v>161</v>
      </c>
      <c r="F52" s="129"/>
      <c r="G52" s="131" t="s">
        <v>125</v>
      </c>
      <c r="H52" s="132" t="n">
        <v>1</v>
      </c>
      <c r="I52" s="133" t="n">
        <f aca="false">SUMIFS(J:J,A:A,"Composição",B:B,$B52)</f>
        <v>0.31</v>
      </c>
      <c r="J52" s="133" t="n">
        <f aca="false">TRUNC(H52*I52,2)</f>
        <v>0.31</v>
      </c>
      <c r="K52" s="217"/>
      <c r="L52" s="176" t="n">
        <f aca="false">IF(AND(A53&lt;&gt;"",A52=""),L51+1,L51)</f>
        <v>4</v>
      </c>
      <c r="M52" s="101" t="n">
        <f aca="false">IF(OR(A52="Insumo",A52="Composição Auxiliar"),J52,"")</f>
        <v>0.31</v>
      </c>
      <c r="N52" s="102" t="str">
        <f aca="false">IF(E52="Mão de Obra",J52,"")</f>
        <v/>
      </c>
      <c r="O52" s="102" t="n">
        <f aca="false">IF(N52&lt;&gt;"","",M52)</f>
        <v>0.31</v>
      </c>
      <c r="P52" s="103" t="str">
        <f aca="false">IF(A52="Composição",B52,"")</f>
        <v/>
      </c>
      <c r="Q52" s="102" t="str">
        <f aca="false">IF(P52&lt;&gt;"",SUMIF(L52:L152,L52,N52:N152),"")</f>
        <v/>
      </c>
      <c r="R52" s="102" t="str">
        <f aca="false">IF(P52&lt;&gt;"",SUMIF(L52:L152,L52,O52:O152),"")</f>
        <v/>
      </c>
    </row>
    <row r="53" customFormat="false" ht="25" hidden="false" customHeight="true" outlineLevel="0" collapsed="false">
      <c r="A53" s="149"/>
      <c r="B53" s="149"/>
      <c r="C53" s="149"/>
      <c r="D53" s="149"/>
      <c r="E53" s="149"/>
      <c r="F53" s="150"/>
      <c r="G53" s="149"/>
      <c r="H53" s="150"/>
      <c r="I53" s="149"/>
      <c r="J53" s="150"/>
      <c r="K53" s="217"/>
      <c r="L53" s="176" t="n">
        <f aca="false">IF(AND(A54&lt;&gt;"",A53=""),L52+1,L52)</f>
        <v>4</v>
      </c>
      <c r="M53" s="101" t="str">
        <f aca="false">IF(OR(A53="Insumo",A53="Composição Auxiliar"),J53,"")</f>
        <v/>
      </c>
      <c r="N53" s="102" t="str">
        <f aca="false">IF(E53="Mão de Obra",J53,"")</f>
        <v/>
      </c>
      <c r="O53" s="102" t="str">
        <f aca="false">IF(N53&lt;&gt;"","",M53)</f>
        <v/>
      </c>
      <c r="P53" s="103" t="str">
        <f aca="false">IF(A53="Composição",B53,"")</f>
        <v/>
      </c>
      <c r="Q53" s="102" t="str">
        <f aca="false">IF(P53&lt;&gt;"",SUMIF(L53:L153,L53,N53:N153),"")</f>
        <v/>
      </c>
      <c r="R53" s="102" t="str">
        <f aca="false">IF(P53&lt;&gt;"",SUMIF(L53:L153,L53,O53:O153),"")</f>
        <v/>
      </c>
    </row>
    <row r="54" customFormat="false" ht="14.5" hidden="false" customHeight="false" outlineLevel="0" collapsed="false">
      <c r="A54" s="149"/>
      <c r="B54" s="149"/>
      <c r="C54" s="149"/>
      <c r="D54" s="149"/>
      <c r="E54" s="149"/>
      <c r="F54" s="150"/>
      <c r="G54" s="149"/>
      <c r="H54" s="151"/>
      <c r="I54" s="151"/>
      <c r="J54" s="150"/>
      <c r="K54" s="217"/>
      <c r="L54" s="176" t="n">
        <f aca="false">IF(AND(A55&lt;&gt;"",A54=""),L53+1,L53)</f>
        <v>4</v>
      </c>
      <c r="M54" s="101" t="str">
        <f aca="false">IF(OR(A54="Insumo",A54="Composição Auxiliar"),J54,"")</f>
        <v/>
      </c>
      <c r="N54" s="102" t="str">
        <f aca="false">IF(E54="Mão de Obra",J54,"")</f>
        <v/>
      </c>
      <c r="O54" s="102" t="str">
        <f aca="false">IF(N54&lt;&gt;"","",M54)</f>
        <v/>
      </c>
      <c r="P54" s="103" t="str">
        <f aca="false">IF(A54="Composição",B54,"")</f>
        <v/>
      </c>
      <c r="Q54" s="102" t="str">
        <f aca="false">IF(P54&lt;&gt;"",SUMIF(L54:L154,L54,N54:N154),"")</f>
        <v/>
      </c>
      <c r="R54" s="102" t="str">
        <f aca="false">IF(P54&lt;&gt;"",SUMIF(L54:L154,L54,O54:O154),"")</f>
        <v/>
      </c>
    </row>
    <row r="55" customFormat="false" ht="25" hidden="false" customHeight="true" outlineLevel="0" collapsed="false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217"/>
      <c r="L55" s="176" t="n">
        <f aca="false">IF(AND(A56&lt;&gt;"",A55=""),L54+1,L54)</f>
        <v>4</v>
      </c>
      <c r="M55" s="101" t="str">
        <f aca="false">IF(OR(A55="Insumo",A55="Composição Auxiliar"),J55,"")</f>
        <v/>
      </c>
      <c r="N55" s="102" t="str">
        <f aca="false">IF(E55="Mão de Obra",J55,"")</f>
        <v/>
      </c>
      <c r="O55" s="102" t="str">
        <f aca="false">IF(N55&lt;&gt;"","",M55)</f>
        <v/>
      </c>
      <c r="P55" s="103" t="str">
        <f aca="false">IF(A55="Composição",B55,"")</f>
        <v/>
      </c>
      <c r="Q55" s="102" t="str">
        <f aca="false">IF(P55&lt;&gt;"",SUMIF(L55:L155,L55,N55:N155),"")</f>
        <v/>
      </c>
      <c r="R55" s="102" t="str">
        <f aca="false">IF(P55&lt;&gt;"",SUMIF(L55:L155,L55,O55:O155),"")</f>
        <v/>
      </c>
    </row>
    <row r="56" customFormat="false" ht="14" hidden="false" customHeight="true" outlineLevel="0" collapsed="false">
      <c r="A56" s="118"/>
      <c r="B56" s="119" t="s">
        <v>115</v>
      </c>
      <c r="C56" s="118" t="s">
        <v>116</v>
      </c>
      <c r="D56" s="118" t="s">
        <v>117</v>
      </c>
      <c r="E56" s="118" t="s">
        <v>118</v>
      </c>
      <c r="F56" s="118"/>
      <c r="G56" s="120" t="s">
        <v>119</v>
      </c>
      <c r="H56" s="119" t="s">
        <v>120</v>
      </c>
      <c r="I56" s="119" t="s">
        <v>130</v>
      </c>
      <c r="J56" s="119" t="s">
        <v>131</v>
      </c>
      <c r="K56" s="217"/>
      <c r="L56" s="176" t="n">
        <f aca="false">IF(AND(A57&lt;&gt;"",A56=""),L55+1,L55)</f>
        <v>5</v>
      </c>
      <c r="M56" s="101" t="str">
        <f aca="false">IF(OR(A56="Insumo",A56="Composição Auxiliar"),J56,"")</f>
        <v/>
      </c>
      <c r="N56" s="102" t="str">
        <f aca="false">IF(E56="Mão de Obra",J56,"")</f>
        <v/>
      </c>
      <c r="O56" s="102" t="str">
        <f aca="false">IF(N56&lt;&gt;"","",M56)</f>
        <v/>
      </c>
      <c r="P56" s="103" t="str">
        <f aca="false">IF(A56="Composição",B56,"")</f>
        <v/>
      </c>
      <c r="Q56" s="102" t="str">
        <f aca="false">IF(P56&lt;&gt;"",SUMIF(L56:L156,L56,N56:N156),"")</f>
        <v/>
      </c>
      <c r="R56" s="102" t="str">
        <f aca="false">IF(P56&lt;&gt;"",SUMIF(L56:L156,L56,O56:O156),"")</f>
        <v/>
      </c>
    </row>
    <row r="57" customFormat="false" ht="25" hidden="false" customHeight="true" outlineLevel="0" collapsed="false">
      <c r="A57" s="122" t="s">
        <v>121</v>
      </c>
      <c r="B57" s="55" t="s">
        <v>265</v>
      </c>
      <c r="C57" s="122" t="s">
        <v>122</v>
      </c>
      <c r="D57" s="122" t="s">
        <v>266</v>
      </c>
      <c r="E57" s="122" t="s">
        <v>161</v>
      </c>
      <c r="F57" s="122"/>
      <c r="G57" s="123" t="s">
        <v>125</v>
      </c>
      <c r="H57" s="124" t="n">
        <v>1</v>
      </c>
      <c r="I57" s="125" t="n">
        <f aca="false">SUMIF(L:L,$L57,M:M)</f>
        <v>0.31</v>
      </c>
      <c r="J57" s="125" t="n">
        <f aca="false">TRUNC(H57*I57,2)</f>
        <v>0.31</v>
      </c>
      <c r="K57" s="217"/>
      <c r="L57" s="176" t="n">
        <f aca="false">IF(AND(A58&lt;&gt;"",A57=""),L56+1,L56)</f>
        <v>5</v>
      </c>
      <c r="M57" s="101" t="str">
        <f aca="false">IF(OR(A57="Insumo",A57="Composição Auxiliar"),J57,"")</f>
        <v/>
      </c>
      <c r="N57" s="102" t="str">
        <f aca="false">IF(E57="Mão de Obra",J57,"")</f>
        <v/>
      </c>
      <c r="O57" s="102" t="str">
        <f aca="false">IF(N57&lt;&gt;"","",M57)</f>
        <v/>
      </c>
      <c r="P57" s="103" t="str">
        <f aca="false">IF(A57="Composição",B57,"")</f>
        <v> 88826 </v>
      </c>
      <c r="Q57" s="102" t="n">
        <f aca="false">IF(P57&lt;&gt;"",SUMIF(L57:L157,L57,N57:N157),"")</f>
        <v>0</v>
      </c>
      <c r="R57" s="102" t="n">
        <f aca="false">IF(P57&lt;&gt;"",SUMIF(L57:L157,L57,O57:O157),"")</f>
        <v>0.31</v>
      </c>
    </row>
    <row r="58" customFormat="false" ht="25" hidden="false" customHeight="true" outlineLevel="0" collapsed="false">
      <c r="A58" s="143" t="s">
        <v>128</v>
      </c>
      <c r="B58" s="144" t="s">
        <v>273</v>
      </c>
      <c r="C58" s="143" t="str">
        <f aca="false">VLOOKUP(B58,INSUMOS!$A:$I,2,0)</f>
        <v>SINAPI</v>
      </c>
      <c r="D58" s="143" t="str">
        <f aca="false">VLOOKUP(B58,INSUMOS!$A:$I,3,0)</f>
        <v>BETONEIRA CAPACIDADE NOMINAL 400 L, CAPACIDADE DE MISTURA  280 L, MOTOR ELETRICO TRIFASICO 220/380 V POTENCIA 2 CV, SEM CARREGADOR</v>
      </c>
      <c r="E58" s="143" t="str">
        <f aca="false">VLOOKUP(B58,INSUMOS!$A:$I,4,0)</f>
        <v>Equipamento</v>
      </c>
      <c r="F58" s="143"/>
      <c r="G58" s="145" t="str">
        <f aca="false">VLOOKUP(B58,INSUMOS!$A:$I,5,0)</f>
        <v>UN</v>
      </c>
      <c r="H58" s="146" t="n">
        <v>6.4E-005</v>
      </c>
      <c r="I58" s="147" t="n">
        <f aca="false">VLOOKUP(B58,INSUMOS!$A:$I,8,0)</f>
        <v>4950</v>
      </c>
      <c r="J58" s="147" t="n">
        <f aca="false">TRUNC(H58*I58,2)</f>
        <v>0.31</v>
      </c>
      <c r="K58" s="217"/>
      <c r="L58" s="176" t="n">
        <f aca="false">IF(AND(A59&lt;&gt;"",A58=""),L57+1,L57)</f>
        <v>5</v>
      </c>
      <c r="M58" s="101" t="n">
        <f aca="false">IF(OR(A58="Insumo",A58="Composição Auxiliar"),J58,"")</f>
        <v>0.31</v>
      </c>
      <c r="N58" s="102" t="str">
        <f aca="false">IF(E58="Mão de Obra",J58,"")</f>
        <v/>
      </c>
      <c r="O58" s="102" t="n">
        <f aca="false">IF(N58&lt;&gt;"","",M58)</f>
        <v>0.31</v>
      </c>
      <c r="P58" s="103" t="str">
        <f aca="false">IF(A58="Composição",B58,"")</f>
        <v/>
      </c>
      <c r="Q58" s="102" t="str">
        <f aca="false">IF(P58&lt;&gt;"",SUMIF(L58:L158,L58,N58:N158),"")</f>
        <v/>
      </c>
      <c r="R58" s="102" t="str">
        <f aca="false">IF(P58&lt;&gt;"",SUMIF(L58:L158,L58,O58:O158),"")</f>
        <v/>
      </c>
    </row>
    <row r="59" customFormat="false" ht="38.25" hidden="false" customHeight="true" outlineLevel="0" collapsed="false">
      <c r="A59" s="149"/>
      <c r="B59" s="149"/>
      <c r="C59" s="149"/>
      <c r="D59" s="149"/>
      <c r="E59" s="149"/>
      <c r="F59" s="150"/>
      <c r="G59" s="149"/>
      <c r="H59" s="150"/>
      <c r="I59" s="149"/>
      <c r="J59" s="150"/>
      <c r="K59" s="217"/>
      <c r="L59" s="176" t="n">
        <f aca="false">IF(AND(A60&lt;&gt;"",A59=""),L58+1,L58)</f>
        <v>5</v>
      </c>
      <c r="M59" s="101" t="str">
        <f aca="false">IF(OR(A59="Insumo",A59="Composição Auxiliar"),J59,"")</f>
        <v/>
      </c>
      <c r="N59" s="102" t="str">
        <f aca="false">IF(E59="Mão de Obra",J59,"")</f>
        <v/>
      </c>
      <c r="O59" s="102" t="str">
        <f aca="false">IF(N59&lt;&gt;"","",M59)</f>
        <v/>
      </c>
      <c r="P59" s="103" t="str">
        <f aca="false">IF(A59="Composição",B59,"")</f>
        <v/>
      </c>
      <c r="Q59" s="102" t="str">
        <f aca="false">IF(P59&lt;&gt;"",SUMIF(L59:L159,L59,N59:N159),"")</f>
        <v/>
      </c>
      <c r="R59" s="102" t="str">
        <f aca="false">IF(P59&lt;&gt;"",SUMIF(L59:L159,L59,O59:O159),"")</f>
        <v/>
      </c>
    </row>
    <row r="60" customFormat="false" ht="38.25" hidden="false" customHeight="true" outlineLevel="0" collapsed="false">
      <c r="A60" s="149"/>
      <c r="B60" s="149"/>
      <c r="C60" s="149"/>
      <c r="D60" s="149"/>
      <c r="E60" s="149"/>
      <c r="F60" s="150"/>
      <c r="G60" s="149"/>
      <c r="H60" s="151"/>
      <c r="I60" s="151"/>
      <c r="J60" s="150"/>
      <c r="K60" s="217"/>
      <c r="L60" s="176" t="n">
        <f aca="false">IF(AND(A61&lt;&gt;"",A60=""),L59+1,L59)</f>
        <v>5</v>
      </c>
      <c r="M60" s="101" t="str">
        <f aca="false">IF(OR(A60="Insumo",A60="Composição Auxiliar"),J60,"")</f>
        <v/>
      </c>
      <c r="N60" s="102" t="str">
        <f aca="false">IF(E60="Mão de Obra",J60,"")</f>
        <v/>
      </c>
      <c r="O60" s="102" t="str">
        <f aca="false">IF(N60&lt;&gt;"","",M60)</f>
        <v/>
      </c>
      <c r="P60" s="103" t="str">
        <f aca="false">IF(A60="Composição",B60,"")</f>
        <v/>
      </c>
      <c r="Q60" s="102" t="str">
        <f aca="false">IF(P60&lt;&gt;"",SUMIF(L60:L160,L60,N60:N160),"")</f>
        <v/>
      </c>
      <c r="R60" s="102" t="str">
        <f aca="false">IF(P60&lt;&gt;"",SUMIF(L60:L160,L60,O60:O160),"")</f>
        <v/>
      </c>
    </row>
    <row r="61" customFormat="false" ht="38.25" hidden="false" customHeight="true" outlineLevel="0" collapsed="false">
      <c r="A61" s="155"/>
      <c r="B61" s="155"/>
      <c r="C61" s="155"/>
      <c r="D61" s="155"/>
      <c r="E61" s="155"/>
      <c r="F61" s="155"/>
      <c r="G61" s="155"/>
      <c r="H61" s="155"/>
      <c r="I61" s="155"/>
      <c r="J61" s="155"/>
      <c r="K61" s="217"/>
      <c r="L61" s="176" t="n">
        <f aca="false">IF(AND(A62&lt;&gt;"",A61=""),L60+1,L60)</f>
        <v>5</v>
      </c>
      <c r="M61" s="101" t="str">
        <f aca="false">IF(OR(A61="Insumo",A61="Composição Auxiliar"),J61,"")</f>
        <v/>
      </c>
      <c r="N61" s="102" t="str">
        <f aca="false">IF(E61="Mão de Obra",J61,"")</f>
        <v/>
      </c>
      <c r="O61" s="102" t="str">
        <f aca="false">IF(N61&lt;&gt;"","",M61)</f>
        <v/>
      </c>
      <c r="P61" s="103" t="str">
        <f aca="false">IF(A61="Composição",B61,"")</f>
        <v/>
      </c>
      <c r="Q61" s="102" t="str">
        <f aca="false">IF(P61&lt;&gt;"",SUMIF(L61:L161,L61,N61:N161),"")</f>
        <v/>
      </c>
      <c r="R61" s="102" t="str">
        <f aca="false">IF(P61&lt;&gt;"",SUMIF(L61:L161,L61,O61:O161),"")</f>
        <v/>
      </c>
    </row>
    <row r="62" customFormat="false" ht="14" hidden="false" customHeight="true" outlineLevel="0" collapsed="false">
      <c r="A62" s="118"/>
      <c r="B62" s="119" t="s">
        <v>115</v>
      </c>
      <c r="C62" s="118" t="s">
        <v>116</v>
      </c>
      <c r="D62" s="118" t="s">
        <v>117</v>
      </c>
      <c r="E62" s="118" t="s">
        <v>118</v>
      </c>
      <c r="F62" s="118"/>
      <c r="G62" s="120" t="s">
        <v>119</v>
      </c>
      <c r="H62" s="119" t="s">
        <v>120</v>
      </c>
      <c r="I62" s="119" t="s">
        <v>130</v>
      </c>
      <c r="J62" s="119" t="s">
        <v>131</v>
      </c>
      <c r="K62" s="217"/>
      <c r="L62" s="176" t="n">
        <f aca="false">IF(AND(A63&lt;&gt;"",A62=""),L61+1,L61)</f>
        <v>6</v>
      </c>
      <c r="M62" s="101" t="str">
        <f aca="false">IF(OR(A62="Insumo",A62="Composição Auxiliar"),J62,"")</f>
        <v/>
      </c>
      <c r="N62" s="102" t="str">
        <f aca="false">IF(E62="Mão de Obra",J62,"")</f>
        <v/>
      </c>
      <c r="O62" s="102" t="str">
        <f aca="false">IF(N62&lt;&gt;"","",M62)</f>
        <v/>
      </c>
      <c r="P62" s="103" t="str">
        <f aca="false">IF(A62="Composição",B62,"")</f>
        <v/>
      </c>
      <c r="Q62" s="102" t="str">
        <f aca="false">IF(P62&lt;&gt;"",SUMIF(L62:L162,L62,N62:N162),"")</f>
        <v/>
      </c>
      <c r="R62" s="102" t="str">
        <f aca="false">IF(P62&lt;&gt;"",SUMIF(L62:L162,L62,O62:O162),"")</f>
        <v/>
      </c>
    </row>
    <row r="63" customFormat="false" ht="37.5" hidden="false" customHeight="true" outlineLevel="0" collapsed="false">
      <c r="A63" s="122" t="s">
        <v>121</v>
      </c>
      <c r="B63" s="55" t="s">
        <v>263</v>
      </c>
      <c r="C63" s="122" t="s">
        <v>122</v>
      </c>
      <c r="D63" s="122" t="s">
        <v>264</v>
      </c>
      <c r="E63" s="122" t="s">
        <v>161</v>
      </c>
      <c r="F63" s="122"/>
      <c r="G63" s="123" t="s">
        <v>125</v>
      </c>
      <c r="H63" s="124" t="n">
        <v>1</v>
      </c>
      <c r="I63" s="125" t="n">
        <f aca="false">SUMIF(L:L,$L63,M:M)</f>
        <v>0.03</v>
      </c>
      <c r="J63" s="125" t="n">
        <f aca="false">TRUNC(H63*I63,2)</f>
        <v>0.03</v>
      </c>
      <c r="K63" s="217"/>
      <c r="L63" s="176" t="n">
        <f aca="false">IF(AND(A64&lt;&gt;"",A63=""),L62+1,L62)</f>
        <v>6</v>
      </c>
      <c r="M63" s="101" t="str">
        <f aca="false">IF(OR(A63="Insumo",A63="Composição Auxiliar"),J63,"")</f>
        <v/>
      </c>
      <c r="N63" s="102" t="str">
        <f aca="false">IF(E63="Mão de Obra",J63,"")</f>
        <v/>
      </c>
      <c r="O63" s="102" t="str">
        <f aca="false">IF(N63&lt;&gt;"","",M63)</f>
        <v/>
      </c>
      <c r="P63" s="103" t="str">
        <f aca="false">IF(A63="Composição",B63,"")</f>
        <v> 88827 </v>
      </c>
      <c r="Q63" s="102" t="n">
        <f aca="false">IF(P63&lt;&gt;"",SUMIF(L63:L163,L63,N63:N163),"")</f>
        <v>0</v>
      </c>
      <c r="R63" s="102" t="n">
        <f aca="false">IF(P63&lt;&gt;"",SUMIF(L63:L163,L63,O63:O163),"")</f>
        <v>0.03</v>
      </c>
    </row>
    <row r="64" customFormat="false" ht="37.5" hidden="false" customHeight="false" outlineLevel="0" collapsed="false">
      <c r="A64" s="143" t="s">
        <v>128</v>
      </c>
      <c r="B64" s="144" t="s">
        <v>273</v>
      </c>
      <c r="C64" s="143" t="str">
        <f aca="false">VLOOKUP(B64,INSUMOS!$A:$I,2,0)</f>
        <v>SINAPI</v>
      </c>
      <c r="D64" s="143" t="str">
        <f aca="false">VLOOKUP(B64,INSUMOS!$A:$I,3,0)</f>
        <v>BETONEIRA CAPACIDADE NOMINAL 400 L, CAPACIDADE DE MISTURA  280 L, MOTOR ELETRICO TRIFASICO 220/380 V POTENCIA 2 CV, SEM CARREGADOR</v>
      </c>
      <c r="E64" s="143" t="str">
        <f aca="false">VLOOKUP(B64,INSUMOS!$A:$I,4,0)</f>
        <v>Equipamento</v>
      </c>
      <c r="F64" s="143"/>
      <c r="G64" s="145" t="str">
        <f aca="false">VLOOKUP(B64,INSUMOS!$A:$I,5,0)</f>
        <v>UN</v>
      </c>
      <c r="H64" s="146" t="n">
        <v>7.6E-006</v>
      </c>
      <c r="I64" s="147" t="n">
        <f aca="false">VLOOKUP(B64,INSUMOS!$A:$I,8,0)</f>
        <v>4950</v>
      </c>
      <c r="J64" s="147" t="n">
        <f aca="false">TRUNC(H64*I64,2)</f>
        <v>0.03</v>
      </c>
      <c r="K64" s="217"/>
      <c r="L64" s="176" t="n">
        <f aca="false">IF(AND(A65&lt;&gt;"",A64=""),L63+1,L63)</f>
        <v>6</v>
      </c>
      <c r="M64" s="101" t="n">
        <f aca="false">IF(OR(A64="Insumo",A64="Composição Auxiliar"),J64,"")</f>
        <v>0.03</v>
      </c>
      <c r="N64" s="102" t="str">
        <f aca="false">IF(E64="Mão de Obra",J64,"")</f>
        <v/>
      </c>
      <c r="O64" s="102" t="n">
        <f aca="false">IF(N64&lt;&gt;"","",M64)</f>
        <v>0.03</v>
      </c>
      <c r="P64" s="103" t="str">
        <f aca="false">IF(A64="Composição",B64,"")</f>
        <v/>
      </c>
      <c r="Q64" s="102" t="str">
        <f aca="false">IF(P64&lt;&gt;"",SUMIF(L64:L164,L64,N64:N164),"")</f>
        <v/>
      </c>
      <c r="R64" s="102" t="str">
        <f aca="false">IF(P64&lt;&gt;"",SUMIF(L64:L164,L64,O64:O164),"")</f>
        <v/>
      </c>
    </row>
    <row r="65" customFormat="false" ht="14" hidden="false" customHeight="false" outlineLevel="0" collapsed="false">
      <c r="A65" s="149"/>
      <c r="B65" s="149"/>
      <c r="C65" s="149"/>
      <c r="D65" s="149"/>
      <c r="E65" s="149"/>
      <c r="F65" s="150"/>
      <c r="G65" s="149"/>
      <c r="H65" s="150"/>
      <c r="I65" s="149"/>
      <c r="J65" s="150"/>
      <c r="K65" s="217"/>
      <c r="L65" s="176" t="n">
        <f aca="false">IF(AND(A66&lt;&gt;"",A65=""),L64+1,L64)</f>
        <v>6</v>
      </c>
      <c r="M65" s="101" t="str">
        <f aca="false">IF(OR(A65="Insumo",A65="Composição Auxiliar"),J65,"")</f>
        <v/>
      </c>
      <c r="N65" s="102" t="str">
        <f aca="false">IF(E65="Mão de Obra",J65,"")</f>
        <v/>
      </c>
      <c r="O65" s="102" t="str">
        <f aca="false">IF(N65&lt;&gt;"","",M65)</f>
        <v/>
      </c>
      <c r="P65" s="103" t="str">
        <f aca="false">IF(A65="Composição",B65,"")</f>
        <v/>
      </c>
      <c r="Q65" s="102" t="str">
        <f aca="false">IF(P65&lt;&gt;"",SUMIF(L65:L165,L65,N65:N165),"")</f>
        <v/>
      </c>
      <c r="R65" s="102" t="str">
        <f aca="false">IF(P65&lt;&gt;"",SUMIF(L65:L165,L65,O65:O165),"")</f>
        <v/>
      </c>
    </row>
    <row r="66" customFormat="false" ht="38.25" hidden="false" customHeight="true" outlineLevel="0" collapsed="false">
      <c r="A66" s="149"/>
      <c r="B66" s="149"/>
      <c r="C66" s="149"/>
      <c r="D66" s="149"/>
      <c r="E66" s="149"/>
      <c r="F66" s="150"/>
      <c r="G66" s="149"/>
      <c r="H66" s="151"/>
      <c r="I66" s="151"/>
      <c r="J66" s="150"/>
      <c r="K66" s="217"/>
      <c r="L66" s="176" t="n">
        <f aca="false">IF(AND(A67&lt;&gt;"",A66=""),L65+1,L65)</f>
        <v>6</v>
      </c>
      <c r="M66" s="101" t="str">
        <f aca="false">IF(OR(A66="Insumo",A66="Composição Auxiliar"),J66,"")</f>
        <v/>
      </c>
      <c r="N66" s="102" t="str">
        <f aca="false">IF(E66="Mão de Obra",J66,"")</f>
        <v/>
      </c>
      <c r="O66" s="102" t="str">
        <f aca="false">IF(N66&lt;&gt;"","",M66)</f>
        <v/>
      </c>
      <c r="P66" s="103" t="str">
        <f aca="false">IF(A66="Composição",B66,"")</f>
        <v/>
      </c>
      <c r="Q66" s="102" t="str">
        <f aca="false">IF(P66&lt;&gt;"",SUMIF(L66:L166,L66,N66:N166),"")</f>
        <v/>
      </c>
      <c r="R66" s="102" t="str">
        <f aca="false">IF(P66&lt;&gt;"",SUMIF(L66:L166,L66,O66:O166),"")</f>
        <v/>
      </c>
    </row>
    <row r="67" customFormat="false" ht="38.25" hidden="false" customHeight="true" outlineLevel="0" collapsed="false">
      <c r="A67" s="155"/>
      <c r="B67" s="155"/>
      <c r="C67" s="155"/>
      <c r="D67" s="155"/>
      <c r="E67" s="155"/>
      <c r="F67" s="155"/>
      <c r="G67" s="155"/>
      <c r="H67" s="155"/>
      <c r="I67" s="155"/>
      <c r="J67" s="155"/>
      <c r="K67" s="217"/>
      <c r="L67" s="176" t="n">
        <f aca="false">IF(AND(A68&lt;&gt;"",A67=""),L66+1,L66)</f>
        <v>6</v>
      </c>
      <c r="M67" s="101" t="str">
        <f aca="false">IF(OR(A67="Insumo",A67="Composição Auxiliar"),J67,"")</f>
        <v/>
      </c>
      <c r="N67" s="102" t="str">
        <f aca="false">IF(E67="Mão de Obra",J67,"")</f>
        <v/>
      </c>
      <c r="O67" s="102" t="str">
        <f aca="false">IF(N67&lt;&gt;"","",M67)</f>
        <v/>
      </c>
      <c r="P67" s="103" t="str">
        <f aca="false">IF(A67="Composição",B67,"")</f>
        <v/>
      </c>
      <c r="Q67" s="102" t="str">
        <f aca="false">IF(P67&lt;&gt;"",SUMIF(L67:L167,L67,N67:N167),"")</f>
        <v/>
      </c>
      <c r="R67" s="102" t="str">
        <f aca="false">IF(P67&lt;&gt;"",SUMIF(L67:L167,L67,O67:O167),"")</f>
        <v/>
      </c>
    </row>
    <row r="68" customFormat="false" ht="38.25" hidden="false" customHeight="true" outlineLevel="0" collapsed="false">
      <c r="A68" s="118"/>
      <c r="B68" s="119" t="s">
        <v>115</v>
      </c>
      <c r="C68" s="118" t="s">
        <v>116</v>
      </c>
      <c r="D68" s="118" t="s">
        <v>117</v>
      </c>
      <c r="E68" s="118" t="s">
        <v>118</v>
      </c>
      <c r="F68" s="118"/>
      <c r="G68" s="120" t="s">
        <v>119</v>
      </c>
      <c r="H68" s="119" t="s">
        <v>120</v>
      </c>
      <c r="I68" s="119" t="s">
        <v>130</v>
      </c>
      <c r="J68" s="119" t="s">
        <v>131</v>
      </c>
      <c r="K68" s="217"/>
      <c r="L68" s="176" t="n">
        <f aca="false">IF(AND(A69&lt;&gt;"",A68=""),L67+1,L67)</f>
        <v>7</v>
      </c>
      <c r="M68" s="101" t="str">
        <f aca="false">IF(OR(A68="Insumo",A68="Composição Auxiliar"),J68,"")</f>
        <v/>
      </c>
      <c r="N68" s="102" t="str">
        <f aca="false">IF(E68="Mão de Obra",J68,"")</f>
        <v/>
      </c>
      <c r="O68" s="102" t="str">
        <f aca="false">IF(N68&lt;&gt;"","",M68)</f>
        <v/>
      </c>
      <c r="P68" s="103" t="str">
        <f aca="false">IF(A68="Composição",B68,"")</f>
        <v/>
      </c>
      <c r="Q68" s="102" t="str">
        <f aca="false">IF(P68&lt;&gt;"",SUMIF(L68:L168,L68,N68:N168),"")</f>
        <v/>
      </c>
      <c r="R68" s="102" t="str">
        <f aca="false">IF(P68&lt;&gt;"",SUMIF(L68:L168,L68,O68:O168),"")</f>
        <v/>
      </c>
    </row>
    <row r="69" customFormat="false" ht="25" hidden="false" customHeight="true" outlineLevel="0" collapsed="false">
      <c r="A69" s="122" t="s">
        <v>121</v>
      </c>
      <c r="B69" s="55" t="s">
        <v>269</v>
      </c>
      <c r="C69" s="122" t="s">
        <v>122</v>
      </c>
      <c r="D69" s="122" t="s">
        <v>270</v>
      </c>
      <c r="E69" s="122" t="s">
        <v>161</v>
      </c>
      <c r="F69" s="122"/>
      <c r="G69" s="123" t="s">
        <v>125</v>
      </c>
      <c r="H69" s="124" t="n">
        <v>1</v>
      </c>
      <c r="I69" s="125" t="n">
        <f aca="false">SUMIF(L:L,$L69,M:M)</f>
        <v>0.34</v>
      </c>
      <c r="J69" s="125" t="n">
        <f aca="false">TRUNC(H69*I69,2)</f>
        <v>0.34</v>
      </c>
      <c r="K69" s="217"/>
      <c r="L69" s="176" t="n">
        <f aca="false">IF(AND(A70&lt;&gt;"",A69=""),L68+1,L68)</f>
        <v>7</v>
      </c>
      <c r="M69" s="101" t="str">
        <f aca="false">IF(OR(A69="Insumo",A69="Composição Auxiliar"),J69,"")</f>
        <v/>
      </c>
      <c r="N69" s="102" t="str">
        <f aca="false">IF(E69="Mão de Obra",J69,"")</f>
        <v/>
      </c>
      <c r="O69" s="102" t="str">
        <f aca="false">IF(N69&lt;&gt;"","",M69)</f>
        <v/>
      </c>
      <c r="P69" s="103" t="str">
        <f aca="false">IF(A69="Composição",B69,"")</f>
        <v> 88828 </v>
      </c>
      <c r="Q69" s="102" t="n">
        <f aca="false">IF(P69&lt;&gt;"",SUMIF(L69:L169,L69,N69:N169),"")</f>
        <v>0</v>
      </c>
      <c r="R69" s="102" t="n">
        <f aca="false">IF(P69&lt;&gt;"",SUMIF(L69:L169,L69,O69:O169),"")</f>
        <v>0.34</v>
      </c>
    </row>
    <row r="70" customFormat="false" ht="38.25" hidden="false" customHeight="true" outlineLevel="0" collapsed="false">
      <c r="A70" s="143" t="s">
        <v>128</v>
      </c>
      <c r="B70" s="144" t="s">
        <v>273</v>
      </c>
      <c r="C70" s="143" t="str">
        <f aca="false">VLOOKUP(B70,INSUMOS!$A:$I,2,0)</f>
        <v>SINAPI</v>
      </c>
      <c r="D70" s="143" t="str">
        <f aca="false">VLOOKUP(B70,INSUMOS!$A:$I,3,0)</f>
        <v>BETONEIRA CAPACIDADE NOMINAL 400 L, CAPACIDADE DE MISTURA  280 L, MOTOR ELETRICO TRIFASICO 220/380 V POTENCIA 2 CV, SEM CARREGADOR</v>
      </c>
      <c r="E70" s="143" t="str">
        <f aca="false">VLOOKUP(B70,INSUMOS!$A:$I,4,0)</f>
        <v>Equipamento</v>
      </c>
      <c r="F70" s="143"/>
      <c r="G70" s="145" t="str">
        <f aca="false">VLOOKUP(B70,INSUMOS!$A:$I,5,0)</f>
        <v>UN</v>
      </c>
      <c r="H70" s="146" t="n">
        <v>7E-005</v>
      </c>
      <c r="I70" s="147" t="n">
        <f aca="false">VLOOKUP(B70,INSUMOS!$A:$I,8,0)</f>
        <v>4950</v>
      </c>
      <c r="J70" s="147" t="n">
        <f aca="false">TRUNC(H70*I70,2)</f>
        <v>0.34</v>
      </c>
      <c r="K70" s="217"/>
      <c r="L70" s="176" t="n">
        <f aca="false">IF(AND(A71&lt;&gt;"",A70=""),L69+1,L69)</f>
        <v>7</v>
      </c>
      <c r="M70" s="101" t="n">
        <f aca="false">IF(OR(A70="Insumo",A70="Composição Auxiliar"),J70,"")</f>
        <v>0.34</v>
      </c>
      <c r="N70" s="102" t="str">
        <f aca="false">IF(E70="Mão de Obra",J70,"")</f>
        <v/>
      </c>
      <c r="O70" s="102" t="n">
        <f aca="false">IF(N70&lt;&gt;"","",M70)</f>
        <v>0.34</v>
      </c>
      <c r="P70" s="103" t="str">
        <f aca="false">IF(A70="Composição",B70,"")</f>
        <v/>
      </c>
      <c r="Q70" s="102" t="str">
        <f aca="false">IF(P70&lt;&gt;"",SUMIF(L70:L170,L70,N70:N170),"")</f>
        <v/>
      </c>
      <c r="R70" s="102" t="str">
        <f aca="false">IF(P70&lt;&gt;"",SUMIF(L70:L170,L70,O70:O170),"")</f>
        <v/>
      </c>
    </row>
    <row r="71" customFormat="false" ht="14" hidden="false" customHeight="false" outlineLevel="0" collapsed="false">
      <c r="A71" s="149"/>
      <c r="B71" s="149"/>
      <c r="C71" s="149"/>
      <c r="D71" s="149"/>
      <c r="E71" s="149"/>
      <c r="F71" s="150"/>
      <c r="G71" s="149"/>
      <c r="H71" s="150"/>
      <c r="I71" s="149"/>
      <c r="J71" s="150"/>
      <c r="K71" s="217"/>
      <c r="L71" s="176" t="n">
        <f aca="false">IF(AND(A72&lt;&gt;"",A71=""),L70+1,L70)</f>
        <v>7</v>
      </c>
      <c r="M71" s="101" t="str">
        <f aca="false">IF(OR(A71="Insumo",A71="Composição Auxiliar"),J71,"")</f>
        <v/>
      </c>
      <c r="N71" s="102" t="str">
        <f aca="false">IF(E71="Mão de Obra",J71,"")</f>
        <v/>
      </c>
      <c r="O71" s="102" t="str">
        <f aca="false">IF(N71&lt;&gt;"","",M71)</f>
        <v/>
      </c>
      <c r="P71" s="103" t="str">
        <f aca="false">IF(A71="Composição",B71,"")</f>
        <v/>
      </c>
      <c r="Q71" s="102" t="str">
        <f aca="false">IF(P71&lt;&gt;"",SUMIF(L71:L171,L71,N71:N171),"")</f>
        <v/>
      </c>
      <c r="R71" s="102" t="str">
        <f aca="false">IF(P71&lt;&gt;"",SUMIF(L71:L171,L71,O71:O171),"")</f>
        <v/>
      </c>
    </row>
    <row r="72" customFormat="false" ht="14.5" hidden="false" customHeight="false" outlineLevel="0" collapsed="false">
      <c r="A72" s="149"/>
      <c r="B72" s="149"/>
      <c r="C72" s="149"/>
      <c r="D72" s="149"/>
      <c r="E72" s="149"/>
      <c r="F72" s="150"/>
      <c r="G72" s="149"/>
      <c r="H72" s="151"/>
      <c r="I72" s="151"/>
      <c r="J72" s="150"/>
      <c r="K72" s="217"/>
      <c r="L72" s="176" t="n">
        <f aca="false">IF(AND(A73&lt;&gt;"",A72=""),L71+1,L71)</f>
        <v>7</v>
      </c>
      <c r="M72" s="101" t="str">
        <f aca="false">IF(OR(A72="Insumo",A72="Composição Auxiliar"),J72,"")</f>
        <v/>
      </c>
      <c r="N72" s="102" t="str">
        <f aca="false">IF(E72="Mão de Obra",J72,"")</f>
        <v/>
      </c>
      <c r="O72" s="102" t="str">
        <f aca="false">IF(N72&lt;&gt;"","",M72)</f>
        <v/>
      </c>
      <c r="P72" s="103" t="str">
        <f aca="false">IF(A72="Composição",B72,"")</f>
        <v/>
      </c>
      <c r="Q72" s="102" t="str">
        <f aca="false">IF(P72&lt;&gt;"",SUMIF(L72:L172,L72,N72:N172),"")</f>
        <v/>
      </c>
      <c r="R72" s="102" t="str">
        <f aca="false">IF(P72&lt;&gt;"",SUMIF(L72:L172,L72,O72:O172),"")</f>
        <v/>
      </c>
    </row>
    <row r="73" customFormat="false" ht="14.5" hidden="false" customHeight="false" outlineLevel="0" collapsed="false">
      <c r="A73" s="155"/>
      <c r="B73" s="155"/>
      <c r="C73" s="155"/>
      <c r="D73" s="155"/>
      <c r="E73" s="155"/>
      <c r="F73" s="155"/>
      <c r="G73" s="155"/>
      <c r="H73" s="155"/>
      <c r="I73" s="155"/>
      <c r="J73" s="155"/>
      <c r="K73" s="217"/>
      <c r="L73" s="176" t="n">
        <f aca="false">IF(AND(A74&lt;&gt;"",A73=""),L72+1,L72)</f>
        <v>7</v>
      </c>
      <c r="M73" s="101" t="str">
        <f aca="false">IF(OR(A73="Insumo",A73="Composição Auxiliar"),J73,"")</f>
        <v/>
      </c>
      <c r="N73" s="102" t="str">
        <f aca="false">IF(E73="Mão de Obra",J73,"")</f>
        <v/>
      </c>
      <c r="O73" s="102" t="str">
        <f aca="false">IF(N73&lt;&gt;"","",M73)</f>
        <v/>
      </c>
      <c r="P73" s="103" t="str">
        <f aca="false">IF(A73="Composição",B73,"")</f>
        <v/>
      </c>
      <c r="Q73" s="102" t="str">
        <f aca="false">IF(P73&lt;&gt;"",SUMIF(L73:L173,L73,N73:N173),"")</f>
        <v/>
      </c>
      <c r="R73" s="102" t="str">
        <f aca="false">IF(P73&lt;&gt;"",SUMIF(L73:L173,L73,O73:O173),"")</f>
        <v/>
      </c>
    </row>
    <row r="74" customFormat="false" ht="14" hidden="false" customHeight="true" outlineLevel="0" collapsed="false">
      <c r="A74" s="118"/>
      <c r="B74" s="119" t="s">
        <v>115</v>
      </c>
      <c r="C74" s="118" t="s">
        <v>116</v>
      </c>
      <c r="D74" s="118" t="s">
        <v>117</v>
      </c>
      <c r="E74" s="118" t="s">
        <v>118</v>
      </c>
      <c r="F74" s="118"/>
      <c r="G74" s="120" t="s">
        <v>119</v>
      </c>
      <c r="H74" s="119" t="s">
        <v>120</v>
      </c>
      <c r="I74" s="119" t="s">
        <v>130</v>
      </c>
      <c r="J74" s="119" t="s">
        <v>131</v>
      </c>
      <c r="K74" s="217"/>
      <c r="L74" s="176" t="n">
        <f aca="false">IF(AND(A75&lt;&gt;"",A74=""),L73+1,L73)</f>
        <v>8</v>
      </c>
      <c r="M74" s="101" t="str">
        <f aca="false">IF(OR(A74="Insumo",A74="Composição Auxiliar"),J74,"")</f>
        <v/>
      </c>
      <c r="N74" s="102" t="str">
        <f aca="false">IF(E74="Mão de Obra",J74,"")</f>
        <v/>
      </c>
      <c r="O74" s="102" t="str">
        <f aca="false">IF(N74&lt;&gt;"","",M74)</f>
        <v/>
      </c>
      <c r="P74" s="103" t="str">
        <f aca="false">IF(A74="Composição",B74,"")</f>
        <v/>
      </c>
      <c r="Q74" s="102" t="str">
        <f aca="false">IF(P74&lt;&gt;"",SUMIF(L74:L174,L74,N74:N174),"")</f>
        <v/>
      </c>
      <c r="R74" s="102" t="str">
        <f aca="false">IF(P74&lt;&gt;"",SUMIF(L74:L174,L74,O74:O174),"")</f>
        <v/>
      </c>
    </row>
    <row r="75" customFormat="false" ht="38.25" hidden="false" customHeight="true" outlineLevel="0" collapsed="false">
      <c r="A75" s="122" t="s">
        <v>121</v>
      </c>
      <c r="B75" s="55" t="s">
        <v>271</v>
      </c>
      <c r="C75" s="122" t="s">
        <v>122</v>
      </c>
      <c r="D75" s="122" t="s">
        <v>272</v>
      </c>
      <c r="E75" s="122" t="s">
        <v>161</v>
      </c>
      <c r="F75" s="122"/>
      <c r="G75" s="123" t="s">
        <v>125</v>
      </c>
      <c r="H75" s="124" t="n">
        <v>1</v>
      </c>
      <c r="I75" s="125" t="n">
        <f aca="false">SUMIF(L:L,$L75,M:M)</f>
        <v>1.43</v>
      </c>
      <c r="J75" s="125" t="n">
        <f aca="false">TRUNC(H75*I75,2)</f>
        <v>1.43</v>
      </c>
      <c r="K75" s="217"/>
      <c r="L75" s="176" t="n">
        <f aca="false">IF(AND(A76&lt;&gt;"",A75=""),L74+1,L74)</f>
        <v>8</v>
      </c>
      <c r="M75" s="101" t="str">
        <f aca="false">IF(OR(A75="Insumo",A75="Composição Auxiliar"),J75,"")</f>
        <v/>
      </c>
      <c r="N75" s="102" t="str">
        <f aca="false">IF(E75="Mão de Obra",J75,"")</f>
        <v/>
      </c>
      <c r="O75" s="102" t="str">
        <f aca="false">IF(N75&lt;&gt;"","",M75)</f>
        <v/>
      </c>
      <c r="P75" s="103" t="str">
        <f aca="false">IF(A75="Composição",B75,"")</f>
        <v> 88829 </v>
      </c>
      <c r="Q75" s="102" t="n">
        <f aca="false">IF(P75&lt;&gt;"",SUMIF(L75:L175,L75,N75:N175),"")</f>
        <v>0</v>
      </c>
      <c r="R75" s="102" t="n">
        <f aca="false">IF(P75&lt;&gt;"",SUMIF(L75:L175,L75,O75:O175),"")</f>
        <v>1.43</v>
      </c>
    </row>
    <row r="76" customFormat="false" ht="14" hidden="false" customHeight="false" outlineLevel="0" collapsed="false">
      <c r="A76" s="143" t="s">
        <v>128</v>
      </c>
      <c r="B76" s="144" t="s">
        <v>274</v>
      </c>
      <c r="C76" s="143" t="str">
        <f aca="false">VLOOKUP(B76,INSUMOS!$A:$I,2,0)</f>
        <v>SINAPI</v>
      </c>
      <c r="D76" s="143" t="str">
        <f aca="false">VLOOKUP(B76,INSUMOS!$A:$I,3,0)</f>
        <v>ENERGIA ELETRICA ATE 2000 KWH INDUSTRIAL, SEM DEMANDA</v>
      </c>
      <c r="E76" s="143" t="str">
        <f aca="false">VLOOKUP(B76,INSUMOS!$A:$I,4,0)</f>
        <v>Material</v>
      </c>
      <c r="F76" s="143"/>
      <c r="G76" s="145" t="str">
        <f aca="false">VLOOKUP(B76,INSUMOS!$A:$I,5,0)</f>
        <v>KWH</v>
      </c>
      <c r="H76" s="146" t="n">
        <v>1.25</v>
      </c>
      <c r="I76" s="147" t="n">
        <f aca="false">VLOOKUP(B76,INSUMOS!$A:$I,8,0)</f>
        <v>1.15</v>
      </c>
      <c r="J76" s="147" t="n">
        <f aca="false">TRUNC(H76*I76,2)</f>
        <v>1.43</v>
      </c>
      <c r="K76" s="217"/>
      <c r="L76" s="176" t="n">
        <f aca="false">IF(AND(A77&lt;&gt;"",A76=""),L75+1,L75)</f>
        <v>8</v>
      </c>
      <c r="M76" s="101" t="n">
        <f aca="false">IF(OR(A76="Insumo",A76="Composição Auxiliar"),J76,"")</f>
        <v>1.43</v>
      </c>
      <c r="N76" s="102" t="str">
        <f aca="false">IF(E76="Mão de Obra",J76,"")</f>
        <v/>
      </c>
      <c r="O76" s="102" t="n">
        <f aca="false">IF(N76&lt;&gt;"","",M76)</f>
        <v>1.43</v>
      </c>
      <c r="P76" s="103" t="str">
        <f aca="false">IF(A76="Composição",B76,"")</f>
        <v/>
      </c>
      <c r="Q76" s="102" t="str">
        <f aca="false">IF(P76&lt;&gt;"",SUMIF(L76:L176,L76,N76:N176),"")</f>
        <v/>
      </c>
      <c r="R76" s="102" t="str">
        <f aca="false">IF(P76&lt;&gt;"",SUMIF(L76:L176,L76,O76:O176),"")</f>
        <v/>
      </c>
    </row>
    <row r="77" customFormat="false" ht="14" hidden="false" customHeight="false" outlineLevel="0" collapsed="false">
      <c r="A77" s="149"/>
      <c r="B77" s="149"/>
      <c r="C77" s="149"/>
      <c r="D77" s="149"/>
      <c r="E77" s="149"/>
      <c r="F77" s="150"/>
      <c r="G77" s="149"/>
      <c r="H77" s="150"/>
      <c r="I77" s="149"/>
      <c r="J77" s="150"/>
      <c r="K77" s="217"/>
      <c r="L77" s="176" t="n">
        <f aca="false">IF(AND(A78&lt;&gt;"",A77=""),L76+1,L76)</f>
        <v>8</v>
      </c>
      <c r="M77" s="101" t="str">
        <f aca="false">IF(OR(A77="Insumo",A77="Composição Auxiliar"),J77,"")</f>
        <v/>
      </c>
      <c r="N77" s="102" t="str">
        <f aca="false">IF(E77="Mão de Obra",J77,"")</f>
        <v/>
      </c>
      <c r="O77" s="102" t="str">
        <f aca="false">IF(N77&lt;&gt;"","",M77)</f>
        <v/>
      </c>
      <c r="P77" s="103" t="str">
        <f aca="false">IF(A77="Composição",B77,"")</f>
        <v/>
      </c>
      <c r="Q77" s="102" t="str">
        <f aca="false">IF(P77&lt;&gt;"",SUMIF(L77:L177,L77,N77:N177),"")</f>
        <v/>
      </c>
      <c r="R77" s="102" t="str">
        <f aca="false">IF(P77&lt;&gt;"",SUMIF(L77:L177,L77,O77:O177),"")</f>
        <v/>
      </c>
    </row>
    <row r="78" customFormat="false" ht="14.5" hidden="false" customHeight="false" outlineLevel="0" collapsed="false">
      <c r="A78" s="149"/>
      <c r="B78" s="149"/>
      <c r="C78" s="149"/>
      <c r="D78" s="149"/>
      <c r="E78" s="149"/>
      <c r="F78" s="150"/>
      <c r="G78" s="149"/>
      <c r="H78" s="151"/>
      <c r="I78" s="151"/>
      <c r="J78" s="150"/>
      <c r="K78" s="217"/>
      <c r="L78" s="176" t="n">
        <f aca="false">IF(AND(A79&lt;&gt;"",A78=""),L77+1,L77)</f>
        <v>8</v>
      </c>
      <c r="M78" s="101" t="str">
        <f aca="false">IF(OR(A78="Insumo",A78="Composição Auxiliar"),J78,"")</f>
        <v/>
      </c>
      <c r="N78" s="102" t="str">
        <f aca="false">IF(E78="Mão de Obra",J78,"")</f>
        <v/>
      </c>
      <c r="O78" s="102" t="str">
        <f aca="false">IF(N78&lt;&gt;"","",M78)</f>
        <v/>
      </c>
      <c r="P78" s="103" t="str">
        <f aca="false">IF(A78="Composição",B78,"")</f>
        <v/>
      </c>
      <c r="Q78" s="102" t="str">
        <f aca="false">IF(P78&lt;&gt;"",SUMIF(L78:L178,L78,N78:N178),"")</f>
        <v/>
      </c>
      <c r="R78" s="102" t="str">
        <f aca="false">IF(P78&lt;&gt;"",SUMIF(L78:L178,L78,O78:O178),"")</f>
        <v/>
      </c>
    </row>
    <row r="79" customFormat="false" ht="14.5" hidden="false" customHeight="false" outlineLevel="0" collapsed="false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217"/>
      <c r="L79" s="176" t="n">
        <f aca="false">IF(AND(A80&lt;&gt;"",A79=""),L78+1,L78)</f>
        <v>8</v>
      </c>
      <c r="M79" s="101" t="str">
        <f aca="false">IF(OR(A79="Insumo",A79="Composição Auxiliar"),J79,"")</f>
        <v/>
      </c>
      <c r="N79" s="102" t="str">
        <f aca="false">IF(E79="Mão de Obra",J79,"")</f>
        <v/>
      </c>
      <c r="O79" s="102" t="str">
        <f aca="false">IF(N79&lt;&gt;"","",M79)</f>
        <v/>
      </c>
      <c r="P79" s="103" t="str">
        <f aca="false">IF(A79="Composição",B79,"")</f>
        <v/>
      </c>
      <c r="Q79" s="102" t="str">
        <f aca="false">IF(P79&lt;&gt;"",SUMIF(L79:L179,L79,N79:N179),"")</f>
        <v/>
      </c>
      <c r="R79" s="102" t="str">
        <f aca="false">IF(P79&lt;&gt;"",SUMIF(L79:L179,L79,O79:O179),"")</f>
        <v/>
      </c>
    </row>
    <row r="80" customFormat="false" ht="25" hidden="false" customHeight="true" outlineLevel="0" collapsed="false">
      <c r="A80" s="118"/>
      <c r="B80" s="119" t="s">
        <v>115</v>
      </c>
      <c r="C80" s="118" t="s">
        <v>116</v>
      </c>
      <c r="D80" s="118" t="s">
        <v>117</v>
      </c>
      <c r="E80" s="118" t="s">
        <v>118</v>
      </c>
      <c r="F80" s="118"/>
      <c r="G80" s="120" t="s">
        <v>119</v>
      </c>
      <c r="H80" s="119" t="s">
        <v>120</v>
      </c>
      <c r="I80" s="119" t="s">
        <v>130</v>
      </c>
      <c r="J80" s="119" t="s">
        <v>131</v>
      </c>
      <c r="K80" s="217"/>
      <c r="L80" s="176" t="n">
        <f aca="false">IF(AND(A81&lt;&gt;"",A80=""),L79+1,L79)</f>
        <v>9</v>
      </c>
      <c r="M80" s="101" t="str">
        <f aca="false">IF(OR(A80="Insumo",A80="Composição Auxiliar"),J80,"")</f>
        <v/>
      </c>
      <c r="N80" s="102" t="str">
        <f aca="false">IF(E80="Mão de Obra",J80,"")</f>
        <v/>
      </c>
      <c r="O80" s="102" t="str">
        <f aca="false">IF(N80&lt;&gt;"","",M80)</f>
        <v/>
      </c>
      <c r="P80" s="103" t="str">
        <f aca="false">IF(A80="Composição",B80,"")</f>
        <v/>
      </c>
      <c r="Q80" s="102" t="str">
        <f aca="false">IF(P80&lt;&gt;"",SUMIF(L80:L180,L80,N80:N180),"")</f>
        <v/>
      </c>
      <c r="R80" s="102" t="str">
        <f aca="false">IF(P80&lt;&gt;"",SUMIF(L80:L180,L80,O80:O180),"")</f>
        <v/>
      </c>
    </row>
    <row r="81" customFormat="false" ht="38.25" hidden="false" customHeight="true" outlineLevel="0" collapsed="false">
      <c r="A81" s="122" t="s">
        <v>121</v>
      </c>
      <c r="B81" s="55" t="s">
        <v>236</v>
      </c>
      <c r="C81" s="122" t="s">
        <v>122</v>
      </c>
      <c r="D81" s="122" t="s">
        <v>237</v>
      </c>
      <c r="E81" s="122" t="s">
        <v>170</v>
      </c>
      <c r="F81" s="122"/>
      <c r="G81" s="123" t="s">
        <v>195</v>
      </c>
      <c r="H81" s="124" t="n">
        <v>1</v>
      </c>
      <c r="I81" s="125" t="n">
        <f aca="false">SUMIF(L:L,$L81,M:M)</f>
        <v>10.16</v>
      </c>
      <c r="J81" s="125" t="n">
        <f aca="false">TRUNC(H81*I81,2)</f>
        <v>10.16</v>
      </c>
      <c r="K81" s="217"/>
      <c r="L81" s="176" t="n">
        <f aca="false">IF(AND(A82&lt;&gt;"",A81=""),L80+1,L80)</f>
        <v>9</v>
      </c>
      <c r="M81" s="101" t="str">
        <f aca="false">IF(OR(A81="Insumo",A81="Composição Auxiliar"),J81,"")</f>
        <v/>
      </c>
      <c r="N81" s="102" t="str">
        <f aca="false">IF(E81="Mão de Obra",J81,"")</f>
        <v/>
      </c>
      <c r="O81" s="102" t="str">
        <f aca="false">IF(N81&lt;&gt;"","",M81)</f>
        <v/>
      </c>
      <c r="P81" s="103" t="str">
        <f aca="false">IF(A81="Composição",B81,"")</f>
        <v> 101885 </v>
      </c>
      <c r="Q81" s="102" t="n">
        <f aca="false">IF(P81&lt;&gt;"",SUMIF(L81:L181,L81,N81:N181),"")</f>
        <v>0</v>
      </c>
      <c r="R81" s="102" t="n">
        <f aca="false">IF(P81&lt;&gt;"",SUMIF(L81:L181,L81,O81:O181),"")</f>
        <v>10.16</v>
      </c>
    </row>
    <row r="82" customFormat="false" ht="25" hidden="false" customHeight="true" outlineLevel="0" collapsed="false">
      <c r="A82" s="129" t="s">
        <v>126</v>
      </c>
      <c r="B82" s="130" t="s">
        <v>181</v>
      </c>
      <c r="C82" s="129" t="s">
        <v>122</v>
      </c>
      <c r="D82" s="129" t="s">
        <v>182</v>
      </c>
      <c r="E82" s="129" t="s">
        <v>124</v>
      </c>
      <c r="F82" s="129"/>
      <c r="G82" s="131" t="s">
        <v>125</v>
      </c>
      <c r="H82" s="132" t="n">
        <v>0.0038</v>
      </c>
      <c r="I82" s="133" t="n">
        <f aca="false">SUMIFS(J:J,A:A,"Composição",B:B,$B82)</f>
        <v>26.75</v>
      </c>
      <c r="J82" s="133" t="n">
        <f aca="false">TRUNC(H82*I82,2)</f>
        <v>0.1</v>
      </c>
      <c r="K82" s="217"/>
      <c r="L82" s="176" t="n">
        <f aca="false">IF(AND(A83&lt;&gt;"",A82=""),L81+1,L81)</f>
        <v>9</v>
      </c>
      <c r="M82" s="101" t="n">
        <f aca="false">IF(OR(A82="Insumo",A82="Composição Auxiliar"),J82,"")</f>
        <v>0.1</v>
      </c>
      <c r="N82" s="102" t="str">
        <f aca="false">IF(E82="Mão de Obra",J82,"")</f>
        <v/>
      </c>
      <c r="O82" s="102" t="n">
        <f aca="false">IF(N82&lt;&gt;"","",M82)</f>
        <v>0.1</v>
      </c>
      <c r="P82" s="103" t="str">
        <f aca="false">IF(A82="Composição",B82,"")</f>
        <v/>
      </c>
      <c r="Q82" s="102" t="str">
        <f aca="false">IF(P82&lt;&gt;"",SUMIF(L82:L182,L82,N82:N182),"")</f>
        <v/>
      </c>
      <c r="R82" s="102" t="str">
        <f aca="false">IF(P82&lt;&gt;"",SUMIF(L82:L182,L82,O82:O182),"")</f>
        <v/>
      </c>
    </row>
    <row r="83" customFormat="false" ht="25" hidden="false" customHeight="true" outlineLevel="0" collapsed="false">
      <c r="A83" s="129" t="s">
        <v>126</v>
      </c>
      <c r="B83" s="130" t="s">
        <v>179</v>
      </c>
      <c r="C83" s="129" t="s">
        <v>122</v>
      </c>
      <c r="D83" s="129" t="s">
        <v>180</v>
      </c>
      <c r="E83" s="129" t="s">
        <v>124</v>
      </c>
      <c r="F83" s="129"/>
      <c r="G83" s="131" t="s">
        <v>125</v>
      </c>
      <c r="H83" s="132" t="n">
        <v>0.0038</v>
      </c>
      <c r="I83" s="133" t="n">
        <f aca="false">SUMIFS(J:J,A:A,"Composição",B:B,$B83)</f>
        <v>19.33</v>
      </c>
      <c r="J83" s="133" t="n">
        <f aca="false">TRUNC(H83*I83,2)</f>
        <v>0.07</v>
      </c>
      <c r="K83" s="217"/>
      <c r="L83" s="176" t="n">
        <f aca="false">IF(AND(A84&lt;&gt;"",A83=""),L82+1,L82)</f>
        <v>9</v>
      </c>
      <c r="M83" s="101" t="n">
        <f aca="false">IF(OR(A83="Insumo",A83="Composição Auxiliar"),J83,"")</f>
        <v>0.07</v>
      </c>
      <c r="N83" s="102" t="str">
        <f aca="false">IF(E83="Mão de Obra",J83,"")</f>
        <v/>
      </c>
      <c r="O83" s="102" t="n">
        <f aca="false">IF(N83&lt;&gt;"","",M83)</f>
        <v>0.07</v>
      </c>
      <c r="P83" s="103" t="str">
        <f aca="false">IF(A83="Composição",B83,"")</f>
        <v/>
      </c>
      <c r="Q83" s="102" t="str">
        <f aca="false">IF(P83&lt;&gt;"",SUMIF(L83:L183,L83,N83:N183),"")</f>
        <v/>
      </c>
      <c r="R83" s="102" t="str">
        <f aca="false">IF(P83&lt;&gt;"",SUMIF(L83:L183,L83,O83:O183),"")</f>
        <v/>
      </c>
    </row>
    <row r="84" customFormat="false" ht="37.5" hidden="false" customHeight="false" outlineLevel="0" collapsed="false">
      <c r="A84" s="143" t="s">
        <v>128</v>
      </c>
      <c r="B84" s="144" t="s">
        <v>275</v>
      </c>
      <c r="C84" s="143" t="str">
        <f aca="false">VLOOKUP(B84,INSUMOS!$A:$I,2,0)</f>
        <v>SINAPI</v>
      </c>
      <c r="D84" s="143" t="str">
        <f aca="false">VLOOKUP(B84,INSUMOS!$A:$I,3,0)</f>
        <v>CABO DE COBRE, FLEXIVEL, CLASSE 4 OU 5, ISOLACAO EM PVC/A, ANTICHAMA BWF-B, COBERTURA PVC-ST1, ANTICHAMA BWF-B, 1 CONDUTOR, 0,6/1 KV, SECAO NOMINAL 10 MM2</v>
      </c>
      <c r="E84" s="143" t="str">
        <f aca="false">VLOOKUP(B84,INSUMOS!$A:$I,4,0)</f>
        <v>Material</v>
      </c>
      <c r="F84" s="143"/>
      <c r="G84" s="145" t="str">
        <f aca="false">VLOOKUP(B84,INSUMOS!$A:$I,5,0)</f>
        <v>M</v>
      </c>
      <c r="H84" s="146" t="n">
        <v>1.027</v>
      </c>
      <c r="I84" s="147" t="n">
        <f aca="false">VLOOKUP(B84,INSUMOS!$A:$I,8,0)</f>
        <v>9.7</v>
      </c>
      <c r="J84" s="147" t="n">
        <f aca="false">TRUNC(H84*I84,2)</f>
        <v>9.96</v>
      </c>
      <c r="K84" s="217"/>
      <c r="L84" s="176" t="n">
        <f aca="false">IF(AND(A85&lt;&gt;"",A84=""),L83+1,L83)</f>
        <v>9</v>
      </c>
      <c r="M84" s="101" t="n">
        <f aca="false">IF(OR(A84="Insumo",A84="Composição Auxiliar"),J84,"")</f>
        <v>9.96</v>
      </c>
      <c r="N84" s="102" t="str">
        <f aca="false">IF(E84="Mão de Obra",J84,"")</f>
        <v/>
      </c>
      <c r="O84" s="102" t="n">
        <f aca="false">IF(N84&lt;&gt;"","",M84)</f>
        <v>9.96</v>
      </c>
      <c r="P84" s="103" t="str">
        <f aca="false">IF(A84="Composição",B84,"")</f>
        <v/>
      </c>
      <c r="Q84" s="102" t="str">
        <f aca="false">IF(P84&lt;&gt;"",SUMIF(L84:L184,L84,N84:N184),"")</f>
        <v/>
      </c>
      <c r="R84" s="102" t="str">
        <f aca="false">IF(P84&lt;&gt;"",SUMIF(L84:L184,L84,O84:O184),"")</f>
        <v/>
      </c>
    </row>
    <row r="85" customFormat="false" ht="25" hidden="false" customHeight="false" outlineLevel="0" collapsed="false">
      <c r="A85" s="143" t="s">
        <v>128</v>
      </c>
      <c r="B85" s="144" t="s">
        <v>238</v>
      </c>
      <c r="C85" s="143" t="str">
        <f aca="false">VLOOKUP(B85,INSUMOS!$A:$I,2,0)</f>
        <v>SINAPI</v>
      </c>
      <c r="D85" s="143" t="str">
        <f aca="false">VLOOKUP(B85,INSUMOS!$A:$I,3,0)</f>
        <v>FITA ISOLANTE ADESIVA ANTICHAMA, USO ATE 750 V, EM ROLO DE 19 MM X 5 M</v>
      </c>
      <c r="E85" s="143" t="str">
        <f aca="false">VLOOKUP(B85,INSUMOS!$A:$I,4,0)</f>
        <v>Material</v>
      </c>
      <c r="F85" s="143"/>
      <c r="G85" s="145" t="str">
        <f aca="false">VLOOKUP(B85,INSUMOS!$A:$I,5,0)</f>
        <v>UN</v>
      </c>
      <c r="H85" s="146" t="n">
        <v>0.01</v>
      </c>
      <c r="I85" s="147" t="n">
        <f aca="false">VLOOKUP(B85,INSUMOS!$A:$I,8,0)</f>
        <v>3.02</v>
      </c>
      <c r="J85" s="147" t="n">
        <f aca="false">TRUNC(H85*I85,2)</f>
        <v>0.03</v>
      </c>
      <c r="K85" s="217"/>
      <c r="L85" s="176" t="n">
        <f aca="false">IF(AND(A86&lt;&gt;"",A85=""),L84+1,L84)</f>
        <v>9</v>
      </c>
      <c r="M85" s="101" t="n">
        <f aca="false">IF(OR(A85="Insumo",A85="Composição Auxiliar"),J85,"")</f>
        <v>0.03</v>
      </c>
      <c r="N85" s="102" t="str">
        <f aca="false">IF(E85="Mão de Obra",J85,"")</f>
        <v/>
      </c>
      <c r="O85" s="102" t="n">
        <f aca="false">IF(N85&lt;&gt;"","",M85)</f>
        <v>0.03</v>
      </c>
      <c r="P85" s="103" t="str">
        <f aca="false">IF(A85="Composição",B85,"")</f>
        <v/>
      </c>
      <c r="Q85" s="102" t="str">
        <f aca="false">IF(P85&lt;&gt;"",SUMIF(L85:L185,L85,N85:N185),"")</f>
        <v/>
      </c>
      <c r="R85" s="102" t="str">
        <f aca="false">IF(P85&lt;&gt;"",SUMIF(L85:L185,L85,O85:O185),"")</f>
        <v/>
      </c>
    </row>
    <row r="86" customFormat="false" ht="14" hidden="false" customHeight="false" outlineLevel="0" collapsed="false">
      <c r="A86" s="149"/>
      <c r="B86" s="149"/>
      <c r="C86" s="149"/>
      <c r="D86" s="149"/>
      <c r="E86" s="149"/>
      <c r="F86" s="150"/>
      <c r="G86" s="149"/>
      <c r="H86" s="150"/>
      <c r="I86" s="149"/>
      <c r="J86" s="150"/>
      <c r="K86" s="217"/>
      <c r="L86" s="176" t="n">
        <f aca="false">IF(AND(A87&lt;&gt;"",A86=""),L85+1,L85)</f>
        <v>9</v>
      </c>
      <c r="M86" s="101" t="str">
        <f aca="false">IF(OR(A86="Insumo",A86="Composição Auxiliar"),J86,"")</f>
        <v/>
      </c>
      <c r="N86" s="102" t="str">
        <f aca="false">IF(E86="Mão de Obra",J86,"")</f>
        <v/>
      </c>
      <c r="O86" s="102" t="str">
        <f aca="false">IF(N86&lt;&gt;"","",M86)</f>
        <v/>
      </c>
      <c r="P86" s="103" t="str">
        <f aca="false">IF(A86="Composição",B86,"")</f>
        <v/>
      </c>
      <c r="Q86" s="102" t="str">
        <f aca="false">IF(P86&lt;&gt;"",SUMIF(L86:L186,L86,N86:N186),"")</f>
        <v/>
      </c>
      <c r="R86" s="102" t="str">
        <f aca="false">IF(P86&lt;&gt;"",SUMIF(L86:L186,L86,O86:O186),"")</f>
        <v/>
      </c>
    </row>
    <row r="87" customFormat="false" ht="38.25" hidden="false" customHeight="true" outlineLevel="0" collapsed="false">
      <c r="A87" s="149"/>
      <c r="B87" s="149"/>
      <c r="C87" s="149"/>
      <c r="D87" s="149"/>
      <c r="E87" s="149"/>
      <c r="F87" s="150"/>
      <c r="G87" s="149"/>
      <c r="H87" s="151"/>
      <c r="I87" s="151"/>
      <c r="J87" s="150"/>
      <c r="K87" s="217"/>
      <c r="L87" s="176" t="n">
        <f aca="false">IF(AND(A88&lt;&gt;"",A87=""),L86+1,L86)</f>
        <v>9</v>
      </c>
      <c r="M87" s="101" t="str">
        <f aca="false">IF(OR(A87="Insumo",A87="Composição Auxiliar"),J87,"")</f>
        <v/>
      </c>
      <c r="N87" s="102" t="str">
        <f aca="false">IF(E87="Mão de Obra",J87,"")</f>
        <v/>
      </c>
      <c r="O87" s="102" t="str">
        <f aca="false">IF(N87&lt;&gt;"","",M87)</f>
        <v/>
      </c>
      <c r="P87" s="103" t="str">
        <f aca="false">IF(A87="Composição",B87,"")</f>
        <v/>
      </c>
      <c r="Q87" s="102" t="str">
        <f aca="false">IF(P87&lt;&gt;"",SUMIF(L87:L187,L87,N87:N187),"")</f>
        <v/>
      </c>
      <c r="R87" s="102" t="str">
        <f aca="false">IF(P87&lt;&gt;"",SUMIF(L87:L187,L87,O87:O187),"")</f>
        <v/>
      </c>
    </row>
    <row r="88" customFormat="false" ht="14.5" hidden="false" customHeight="false" outlineLevel="0" collapsed="false">
      <c r="A88" s="155"/>
      <c r="B88" s="155"/>
      <c r="C88" s="155"/>
      <c r="D88" s="155"/>
      <c r="E88" s="155"/>
      <c r="F88" s="155"/>
      <c r="G88" s="155"/>
      <c r="H88" s="155"/>
      <c r="I88" s="155"/>
      <c r="J88" s="155"/>
      <c r="K88" s="217"/>
      <c r="L88" s="176" t="n">
        <f aca="false">IF(AND(A89&lt;&gt;"",A88=""),L87+1,L87)</f>
        <v>9</v>
      </c>
      <c r="M88" s="101" t="str">
        <f aca="false">IF(OR(A88="Insumo",A88="Composição Auxiliar"),J88,"")</f>
        <v/>
      </c>
      <c r="N88" s="102" t="str">
        <f aca="false">IF(E88="Mão de Obra",J88,"")</f>
        <v/>
      </c>
      <c r="O88" s="102" t="str">
        <f aca="false">IF(N88&lt;&gt;"","",M88)</f>
        <v/>
      </c>
      <c r="P88" s="103" t="str">
        <f aca="false">IF(A88="Composição",B88,"")</f>
        <v/>
      </c>
      <c r="Q88" s="102" t="str">
        <f aca="false">IF(P88&lt;&gt;"",SUMIF(L88:L188,L88,N88:N188),"")</f>
        <v/>
      </c>
      <c r="R88" s="102" t="str">
        <f aca="false">IF(P88&lt;&gt;"",SUMIF(L88:L188,L88,O88:O188),"")</f>
        <v/>
      </c>
    </row>
    <row r="89" customFormat="false" ht="14" hidden="false" customHeight="true" outlineLevel="0" collapsed="false">
      <c r="A89" s="118"/>
      <c r="B89" s="119" t="s">
        <v>115</v>
      </c>
      <c r="C89" s="118" t="s">
        <v>116</v>
      </c>
      <c r="D89" s="118" t="s">
        <v>117</v>
      </c>
      <c r="E89" s="118" t="s">
        <v>118</v>
      </c>
      <c r="F89" s="118"/>
      <c r="G89" s="120" t="s">
        <v>119</v>
      </c>
      <c r="H89" s="119" t="s">
        <v>120</v>
      </c>
      <c r="I89" s="119" t="s">
        <v>130</v>
      </c>
      <c r="J89" s="119" t="s">
        <v>131</v>
      </c>
      <c r="K89" s="217"/>
      <c r="L89" s="176" t="n">
        <f aca="false">IF(AND(A90&lt;&gt;"",A89=""),L88+1,L88)</f>
        <v>10</v>
      </c>
      <c r="M89" s="101" t="str">
        <f aca="false">IF(OR(A89="Insumo",A89="Composição Auxiliar"),J89,"")</f>
        <v/>
      </c>
      <c r="N89" s="102" t="str">
        <f aca="false">IF(E89="Mão de Obra",J89,"")</f>
        <v/>
      </c>
      <c r="O89" s="102" t="str">
        <f aca="false">IF(N89&lt;&gt;"","",M89)</f>
        <v/>
      </c>
      <c r="P89" s="103" t="str">
        <f aca="false">IF(A89="Composição",B89,"")</f>
        <v/>
      </c>
      <c r="Q89" s="102" t="str">
        <f aca="false">IF(P89&lt;&gt;"",SUMIF(L89:L189,L89,N89:N189),"")</f>
        <v/>
      </c>
      <c r="R89" s="102" t="str">
        <f aca="false">IF(P89&lt;&gt;"",SUMIF(L89:L189,L89,O89:O189),"")</f>
        <v/>
      </c>
    </row>
    <row r="90" customFormat="false" ht="14" hidden="false" customHeight="true" outlineLevel="0" collapsed="false">
      <c r="A90" s="122" t="s">
        <v>121</v>
      </c>
      <c r="B90" s="55" t="s">
        <v>144</v>
      </c>
      <c r="C90" s="122" t="s">
        <v>122</v>
      </c>
      <c r="D90" s="122" t="s">
        <v>145</v>
      </c>
      <c r="E90" s="122" t="s">
        <v>124</v>
      </c>
      <c r="F90" s="122"/>
      <c r="G90" s="123" t="s">
        <v>125</v>
      </c>
      <c r="H90" s="124" t="n">
        <v>1</v>
      </c>
      <c r="I90" s="125" t="n">
        <f aca="false">SUMIF(L:L,$L90,M:M)</f>
        <v>26.18</v>
      </c>
      <c r="J90" s="125" t="n">
        <f aca="false">TRUNC(H90*I90,2)</f>
        <v>26.18</v>
      </c>
      <c r="K90" s="217"/>
      <c r="L90" s="176" t="n">
        <f aca="false">IF(AND(A91&lt;&gt;"",A90=""),L89+1,L89)</f>
        <v>10</v>
      </c>
      <c r="M90" s="101" t="str">
        <f aca="false">IF(OR(A90="Insumo",A90="Composição Auxiliar"),J90,"")</f>
        <v/>
      </c>
      <c r="N90" s="102" t="str">
        <f aca="false">IF(E90="Mão de Obra",J90,"")</f>
        <v/>
      </c>
      <c r="O90" s="102" t="str">
        <f aca="false">IF(N90&lt;&gt;"","",M90)</f>
        <v/>
      </c>
      <c r="P90" s="103" t="str">
        <f aca="false">IF(A90="Composição",B90,"")</f>
        <v> 88262 </v>
      </c>
      <c r="Q90" s="102" t="n">
        <f aca="false">IF(P90&lt;&gt;"",SUMIF(L90:L190,L90,N90:N190),"")</f>
        <v>20.55</v>
      </c>
      <c r="R90" s="102" t="n">
        <f aca="false">IF(P90&lt;&gt;"",SUMIF(L90:L190,L90,O90:O190),"")</f>
        <v>5.63</v>
      </c>
    </row>
    <row r="91" customFormat="false" ht="25" hidden="false" customHeight="true" outlineLevel="0" collapsed="false">
      <c r="A91" s="129" t="s">
        <v>126</v>
      </c>
      <c r="B91" s="130" t="s">
        <v>276</v>
      </c>
      <c r="C91" s="129" t="s">
        <v>122</v>
      </c>
      <c r="D91" s="129" t="s">
        <v>277</v>
      </c>
      <c r="E91" s="129" t="s">
        <v>124</v>
      </c>
      <c r="F91" s="129"/>
      <c r="G91" s="131" t="s">
        <v>125</v>
      </c>
      <c r="H91" s="132" t="n">
        <v>1</v>
      </c>
      <c r="I91" s="133" t="n">
        <f aca="false">SUMIFS(J:J,A:A,"Composição",B:B,$B91)</f>
        <v>0.19</v>
      </c>
      <c r="J91" s="133" t="n">
        <f aca="false">TRUNC(H91*I91,2)</f>
        <v>0.19</v>
      </c>
      <c r="K91" s="217"/>
      <c r="L91" s="176" t="n">
        <f aca="false">IF(AND(A92&lt;&gt;"",A91=""),L90+1,L90)</f>
        <v>10</v>
      </c>
      <c r="M91" s="101" t="n">
        <f aca="false">IF(OR(A91="Insumo",A91="Composição Auxiliar"),J91,"")</f>
        <v>0.19</v>
      </c>
      <c r="N91" s="102" t="str">
        <f aca="false">IF(E91="Mão de Obra",J91,"")</f>
        <v/>
      </c>
      <c r="O91" s="102" t="n">
        <f aca="false">IF(N91&lt;&gt;"","",M91)</f>
        <v>0.19</v>
      </c>
      <c r="P91" s="103" t="str">
        <f aca="false">IF(A91="Composição",B91,"")</f>
        <v/>
      </c>
      <c r="Q91" s="102" t="str">
        <f aca="false">IF(P91&lt;&gt;"",SUMIF(L91:L191,L91,N91:N191),"")</f>
        <v/>
      </c>
      <c r="R91" s="102" t="str">
        <f aca="false">IF(P91&lt;&gt;"",SUMIF(L91:L191,L91,O91:O191),"")</f>
        <v/>
      </c>
    </row>
    <row r="92" customFormat="false" ht="14" hidden="false" customHeight="false" outlineLevel="0" collapsed="false">
      <c r="A92" s="143" t="s">
        <v>128</v>
      </c>
      <c r="B92" s="144" t="s">
        <v>129</v>
      </c>
      <c r="C92" s="143" t="str">
        <f aca="false">VLOOKUP(B92,INSUMOS!$A:$I,2,0)</f>
        <v>SINAPI</v>
      </c>
      <c r="D92" s="143" t="str">
        <f aca="false">VLOOKUP(B92,INSUMOS!$A:$I,3,0)</f>
        <v>ALIMENTACAO - HORISTA (COLETADO CAIXA)</v>
      </c>
      <c r="E92" s="143" t="str">
        <f aca="false">VLOOKUP(B92,INSUMOS!$A:$I,4,0)</f>
        <v>Outros</v>
      </c>
      <c r="F92" s="143"/>
      <c r="G92" s="145" t="str">
        <f aca="false">VLOOKUP(B92,INSUMOS!$A:$I,5,0)</f>
        <v>H</v>
      </c>
      <c r="H92" s="146" t="n">
        <v>1</v>
      </c>
      <c r="I92" s="147" t="n">
        <f aca="false">VLOOKUP(B92,INSUMOS!$A:$I,8,0)</f>
        <v>2.11</v>
      </c>
      <c r="J92" s="147" t="n">
        <f aca="false">TRUNC(H92*I92,2)</f>
        <v>2.11</v>
      </c>
      <c r="K92" s="217"/>
      <c r="L92" s="176" t="n">
        <f aca="false">IF(AND(A93&lt;&gt;"",A92=""),L91+1,L91)</f>
        <v>10</v>
      </c>
      <c r="M92" s="101" t="n">
        <f aca="false">IF(OR(A92="Insumo",A92="Composição Auxiliar"),J92,"")</f>
        <v>2.11</v>
      </c>
      <c r="N92" s="102" t="str">
        <f aca="false">IF(E92="Mão de Obra",J92,"")</f>
        <v/>
      </c>
      <c r="O92" s="102" t="n">
        <f aca="false">IF(N92&lt;&gt;"","",M92)</f>
        <v>2.11</v>
      </c>
      <c r="P92" s="103" t="str">
        <f aca="false">IF(A92="Composição",B92,"")</f>
        <v/>
      </c>
      <c r="Q92" s="102" t="str">
        <f aca="false">IF(P92&lt;&gt;"",SUMIF(L92:L192,L92,N92:N192),"")</f>
        <v/>
      </c>
      <c r="R92" s="102" t="str">
        <f aca="false">IF(P92&lt;&gt;"",SUMIF(L92:L192,L92,O92:O192),"")</f>
        <v/>
      </c>
    </row>
    <row r="93" customFormat="false" ht="38.25" hidden="false" customHeight="true" outlineLevel="0" collapsed="false">
      <c r="A93" s="143" t="s">
        <v>128</v>
      </c>
      <c r="B93" s="144" t="s">
        <v>278</v>
      </c>
      <c r="C93" s="143" t="str">
        <f aca="false">VLOOKUP(B93,INSUMOS!$A:$I,2,0)</f>
        <v>SINAPI</v>
      </c>
      <c r="D93" s="143" t="str">
        <f aca="false">VLOOKUP(B93,INSUMOS!$A:$I,3,0)</f>
        <v>CARPINTEIRO DE FORMAS (HORISTA)</v>
      </c>
      <c r="E93" s="143" t="str">
        <f aca="false">VLOOKUP(B93,INSUMOS!$A:$I,4,0)</f>
        <v>Mão de Obra</v>
      </c>
      <c r="F93" s="143"/>
      <c r="G93" s="145" t="str">
        <f aca="false">VLOOKUP(B93,INSUMOS!$A:$I,5,0)</f>
        <v>H</v>
      </c>
      <c r="H93" s="146" t="n">
        <v>1</v>
      </c>
      <c r="I93" s="147" t="n">
        <f aca="false">VLOOKUP(B93,INSUMOS!$A:$I,8,0)</f>
        <v>20.55</v>
      </c>
      <c r="J93" s="147" t="n">
        <f aca="false">TRUNC(H93*I93,2)</f>
        <v>20.55</v>
      </c>
      <c r="K93" s="217"/>
      <c r="L93" s="176" t="n">
        <f aca="false">IF(AND(A94&lt;&gt;"",A93=""),L92+1,L92)</f>
        <v>10</v>
      </c>
      <c r="M93" s="101" t="n">
        <f aca="false">IF(OR(A93="Insumo",A93="Composição Auxiliar"),J93,"")</f>
        <v>20.55</v>
      </c>
      <c r="N93" s="102" t="n">
        <f aca="false">IF(E93="Mão de Obra",J93,"")</f>
        <v>20.55</v>
      </c>
      <c r="O93" s="102" t="str">
        <f aca="false">IF(N93&lt;&gt;"","",M93)</f>
        <v/>
      </c>
      <c r="P93" s="103" t="str">
        <f aca="false">IF(A93="Composição",B93,"")</f>
        <v/>
      </c>
      <c r="Q93" s="102" t="str">
        <f aca="false">IF(P93&lt;&gt;"",SUMIF(L93:L193,L93,N93:N193),"")</f>
        <v/>
      </c>
      <c r="R93" s="102" t="str">
        <f aca="false">IF(P93&lt;&gt;"",SUMIF(L93:L193,L93,O93:O193),"")</f>
        <v/>
      </c>
    </row>
    <row r="94" customFormat="false" ht="25" hidden="false" customHeight="false" outlineLevel="0" collapsed="false">
      <c r="A94" s="143" t="s">
        <v>128</v>
      </c>
      <c r="B94" s="144" t="s">
        <v>279</v>
      </c>
      <c r="C94" s="143" t="str">
        <f aca="false">VLOOKUP(B94,INSUMOS!$A:$I,2,0)</f>
        <v>SINAPI</v>
      </c>
      <c r="D94" s="143" t="str">
        <f aca="false">VLOOKUP(B94,INSUMOS!$A:$I,3,0)</f>
        <v>EPI - FAMILIA CARPINTEIRO DE FORMAS - HORISTA (ENCARGOS COMPLEMENTARES - COLETADO CAIXA)</v>
      </c>
      <c r="E94" s="143" t="str">
        <f aca="false">VLOOKUP(B94,INSUMOS!$A:$I,4,0)</f>
        <v>Equipamento</v>
      </c>
      <c r="F94" s="143"/>
      <c r="G94" s="145" t="str">
        <f aca="false">VLOOKUP(B94,INSUMOS!$A:$I,5,0)</f>
        <v>H</v>
      </c>
      <c r="H94" s="146" t="n">
        <v>1</v>
      </c>
      <c r="I94" s="147" t="n">
        <f aca="false">VLOOKUP(B94,INSUMOS!$A:$I,8,0)</f>
        <v>1.26</v>
      </c>
      <c r="J94" s="147" t="n">
        <f aca="false">TRUNC(H94*I94,2)</f>
        <v>1.26</v>
      </c>
      <c r="K94" s="217"/>
      <c r="L94" s="176" t="n">
        <f aca="false">IF(AND(A95&lt;&gt;"",A94=""),L93+1,L93)</f>
        <v>10</v>
      </c>
      <c r="M94" s="101" t="n">
        <f aca="false">IF(OR(A94="Insumo",A94="Composição Auxiliar"),J94,"")</f>
        <v>1.26</v>
      </c>
      <c r="N94" s="102" t="str">
        <f aca="false">IF(E94="Mão de Obra",J94,"")</f>
        <v/>
      </c>
      <c r="O94" s="102" t="n">
        <f aca="false">IF(N94&lt;&gt;"","",M94)</f>
        <v>1.26</v>
      </c>
      <c r="P94" s="103" t="str">
        <f aca="false">IF(A94="Composição",B94,"")</f>
        <v/>
      </c>
      <c r="Q94" s="102" t="str">
        <f aca="false">IF(P94&lt;&gt;"",SUMIF(L94:L194,L94,N94:N194),"")</f>
        <v/>
      </c>
      <c r="R94" s="102" t="str">
        <f aca="false">IF(P94&lt;&gt;"",SUMIF(L94:L194,L94,O94:O194),"")</f>
        <v/>
      </c>
    </row>
    <row r="95" customFormat="false" ht="25" hidden="false" customHeight="false" outlineLevel="0" collapsed="false">
      <c r="A95" s="143" t="s">
        <v>128</v>
      </c>
      <c r="B95" s="144" t="s">
        <v>280</v>
      </c>
      <c r="C95" s="143" t="str">
        <f aca="false">VLOOKUP(B95,INSUMOS!$A:$I,2,0)</f>
        <v>SINAPI</v>
      </c>
      <c r="D95" s="143" t="str">
        <f aca="false">VLOOKUP(B95,INSUMOS!$A:$I,3,0)</f>
        <v>FERRAMENTAS - FAMILIA CARPINTEIRO DE FORMAS - HORISTA (ENCARGOS COMPLEMENTARES - COLETADO CAIXA)</v>
      </c>
      <c r="E95" s="143" t="str">
        <f aca="false">VLOOKUP(B95,INSUMOS!$A:$I,4,0)</f>
        <v>Equipamento</v>
      </c>
      <c r="F95" s="143"/>
      <c r="G95" s="145" t="str">
        <f aca="false">VLOOKUP(B95,INSUMOS!$A:$I,5,0)</f>
        <v>H</v>
      </c>
      <c r="H95" s="146" t="n">
        <v>1</v>
      </c>
      <c r="I95" s="147" t="n">
        <f aca="false">VLOOKUP(B95,INSUMOS!$A:$I,8,0)</f>
        <v>0.45</v>
      </c>
      <c r="J95" s="147" t="n">
        <f aca="false">TRUNC(H95*I95,2)</f>
        <v>0.45</v>
      </c>
      <c r="K95" s="217"/>
      <c r="L95" s="176" t="n">
        <f aca="false">IF(AND(A96&lt;&gt;"",A95=""),L94+1,L94)</f>
        <v>10</v>
      </c>
      <c r="M95" s="101" t="n">
        <f aca="false">IF(OR(A95="Insumo",A95="Composição Auxiliar"),J95,"")</f>
        <v>0.45</v>
      </c>
      <c r="N95" s="102" t="str">
        <f aca="false">IF(E95="Mão de Obra",J95,"")</f>
        <v/>
      </c>
      <c r="O95" s="102" t="n">
        <f aca="false">IF(N95&lt;&gt;"","",M95)</f>
        <v>0.45</v>
      </c>
      <c r="P95" s="103" t="str">
        <f aca="false">IF(A95="Composição",B95,"")</f>
        <v/>
      </c>
      <c r="Q95" s="102" t="str">
        <f aca="false">IF(P95&lt;&gt;"",SUMIF(L95:L195,L95,N95:N195),"")</f>
        <v/>
      </c>
      <c r="R95" s="102" t="str">
        <f aca="false">IF(P95&lt;&gt;"",SUMIF(L95:L195,L95,O95:O195),"")</f>
        <v/>
      </c>
    </row>
    <row r="96" customFormat="false" ht="14" hidden="false" customHeight="false" outlineLevel="0" collapsed="false">
      <c r="A96" s="143" t="s">
        <v>128</v>
      </c>
      <c r="B96" s="144" t="s">
        <v>245</v>
      </c>
      <c r="C96" s="143" t="str">
        <f aca="false">VLOOKUP(B96,INSUMOS!$A:$I,2,0)</f>
        <v>SINAPI</v>
      </c>
      <c r="D96" s="143" t="str">
        <f aca="false">VLOOKUP(B96,INSUMOS!$A:$I,3,0)</f>
        <v>EXAMES - HORISTA (COLETADO CAIXA)</v>
      </c>
      <c r="E96" s="143" t="str">
        <f aca="false">VLOOKUP(B96,INSUMOS!$A:$I,4,0)</f>
        <v>Outros</v>
      </c>
      <c r="F96" s="143"/>
      <c r="G96" s="145" t="str">
        <f aca="false">VLOOKUP(B96,INSUMOS!$A:$I,5,0)</f>
        <v>H</v>
      </c>
      <c r="H96" s="146" t="n">
        <v>1</v>
      </c>
      <c r="I96" s="147" t="n">
        <f aca="false">VLOOKUP(B96,INSUMOS!$A:$I,8,0)</f>
        <v>0.81</v>
      </c>
      <c r="J96" s="147" t="n">
        <f aca="false">TRUNC(H96*I96,2)</f>
        <v>0.81</v>
      </c>
      <c r="K96" s="217"/>
      <c r="L96" s="176" t="n">
        <f aca="false">IF(AND(A97&lt;&gt;"",A96=""),L95+1,L95)</f>
        <v>10</v>
      </c>
      <c r="M96" s="101" t="n">
        <f aca="false">IF(OR(A96="Insumo",A96="Composição Auxiliar"),J96,"")</f>
        <v>0.81</v>
      </c>
      <c r="N96" s="102" t="str">
        <f aca="false">IF(E96="Mão de Obra",J96,"")</f>
        <v/>
      </c>
      <c r="O96" s="102" t="n">
        <f aca="false">IF(N96&lt;&gt;"","",M96)</f>
        <v>0.81</v>
      </c>
      <c r="P96" s="103" t="str">
        <f aca="false">IF(A96="Composição",B96,"")</f>
        <v/>
      </c>
      <c r="Q96" s="102" t="str">
        <f aca="false">IF(P96&lt;&gt;"",SUMIF(L96:L196,L96,N96:N196),"")</f>
        <v/>
      </c>
      <c r="R96" s="102" t="str">
        <f aca="false">IF(P96&lt;&gt;"",SUMIF(L96:L196,L96,O96:O196),"")</f>
        <v/>
      </c>
    </row>
    <row r="97" customFormat="false" ht="14" hidden="false" customHeight="false" outlineLevel="0" collapsed="false">
      <c r="A97" s="143" t="s">
        <v>128</v>
      </c>
      <c r="B97" s="144" t="s">
        <v>247</v>
      </c>
      <c r="C97" s="143" t="str">
        <f aca="false">VLOOKUP(B97,INSUMOS!$A:$I,2,0)</f>
        <v>SINAPI</v>
      </c>
      <c r="D97" s="143" t="str">
        <f aca="false">VLOOKUP(B97,INSUMOS!$A:$I,3,0)</f>
        <v>SEGURO - HORISTA (COLETADO CAIXA)</v>
      </c>
      <c r="E97" s="143" t="str">
        <f aca="false">VLOOKUP(B97,INSUMOS!$A:$I,4,0)</f>
        <v>Taxas</v>
      </c>
      <c r="F97" s="143"/>
      <c r="G97" s="145" t="str">
        <f aca="false">VLOOKUP(B97,INSUMOS!$A:$I,5,0)</f>
        <v>H</v>
      </c>
      <c r="H97" s="146" t="n">
        <v>1</v>
      </c>
      <c r="I97" s="147" t="n">
        <f aca="false">VLOOKUP(B97,INSUMOS!$A:$I,8,0)</f>
        <v>0.06</v>
      </c>
      <c r="J97" s="147" t="n">
        <f aca="false">TRUNC(H97*I97,2)</f>
        <v>0.06</v>
      </c>
      <c r="K97" s="217"/>
      <c r="L97" s="176" t="n">
        <f aca="false">IF(AND(A98&lt;&gt;"",A97=""),L96+1,L96)</f>
        <v>10</v>
      </c>
      <c r="M97" s="101" t="n">
        <f aca="false">IF(OR(A97="Insumo",A97="Composição Auxiliar"),J97,"")</f>
        <v>0.06</v>
      </c>
      <c r="N97" s="102" t="str">
        <f aca="false">IF(E97="Mão de Obra",J97,"")</f>
        <v/>
      </c>
      <c r="O97" s="102" t="n">
        <f aca="false">IF(N97&lt;&gt;"","",M97)</f>
        <v>0.06</v>
      </c>
      <c r="P97" s="103" t="str">
        <f aca="false">IF(A97="Composição",B97,"")</f>
        <v/>
      </c>
      <c r="Q97" s="102" t="str">
        <f aca="false">IF(P97&lt;&gt;"",SUMIF(L97:L197,L97,N97:N197),"")</f>
        <v/>
      </c>
      <c r="R97" s="102" t="str">
        <f aca="false">IF(P97&lt;&gt;"",SUMIF(L97:L197,L97,O97:O197),"")</f>
        <v/>
      </c>
    </row>
    <row r="98" customFormat="false" ht="14" hidden="false" customHeight="false" outlineLevel="0" collapsed="false">
      <c r="A98" s="143" t="s">
        <v>128</v>
      </c>
      <c r="B98" s="144" t="s">
        <v>255</v>
      </c>
      <c r="C98" s="143" t="str">
        <f aca="false">VLOOKUP(B98,INSUMOS!$A:$I,2,0)</f>
        <v>SINAPI</v>
      </c>
      <c r="D98" s="143" t="str">
        <f aca="false">VLOOKUP(B98,INSUMOS!$A:$I,3,0)</f>
        <v>TRANSPORTE - HORISTA (COLETADO CAIXA)</v>
      </c>
      <c r="E98" s="143" t="str">
        <f aca="false">VLOOKUP(B98,INSUMOS!$A:$I,4,0)</f>
        <v>Serviços</v>
      </c>
      <c r="F98" s="143"/>
      <c r="G98" s="145" t="str">
        <f aca="false">VLOOKUP(B98,INSUMOS!$A:$I,5,0)</f>
        <v>H</v>
      </c>
      <c r="H98" s="146" t="n">
        <v>1</v>
      </c>
      <c r="I98" s="147" t="n">
        <f aca="false">VLOOKUP(B98,INSUMOS!$A:$I,8,0)</f>
        <v>0.75</v>
      </c>
      <c r="J98" s="147" t="n">
        <f aca="false">TRUNC(H98*I98,2)</f>
        <v>0.75</v>
      </c>
      <c r="K98" s="217"/>
      <c r="L98" s="176" t="n">
        <f aca="false">IF(AND(A99&lt;&gt;"",A98=""),L97+1,L97)</f>
        <v>10</v>
      </c>
      <c r="M98" s="101" t="n">
        <f aca="false">IF(OR(A98="Insumo",A98="Composição Auxiliar"),J98,"")</f>
        <v>0.75</v>
      </c>
      <c r="N98" s="102" t="str">
        <f aca="false">IF(E98="Mão de Obra",J98,"")</f>
        <v/>
      </c>
      <c r="O98" s="102" t="n">
        <f aca="false">IF(N98&lt;&gt;"","",M98)</f>
        <v>0.75</v>
      </c>
      <c r="P98" s="103" t="str">
        <f aca="false">IF(A98="Composição",B98,"")</f>
        <v/>
      </c>
      <c r="Q98" s="102" t="str">
        <f aca="false">IF(P98&lt;&gt;"",SUMIF(L98:L198,L98,N98:N198),"")</f>
        <v/>
      </c>
      <c r="R98" s="102" t="str">
        <f aca="false">IF(P98&lt;&gt;"",SUMIF(L98:L198,L98,O98:O198),"")</f>
        <v/>
      </c>
    </row>
    <row r="99" customFormat="false" ht="14.25" hidden="false" customHeight="true" outlineLevel="0" collapsed="false">
      <c r="A99" s="149"/>
      <c r="B99" s="149"/>
      <c r="C99" s="149"/>
      <c r="D99" s="149"/>
      <c r="E99" s="149"/>
      <c r="F99" s="150"/>
      <c r="G99" s="149"/>
      <c r="H99" s="150"/>
      <c r="I99" s="149"/>
      <c r="J99" s="150"/>
      <c r="K99" s="217"/>
      <c r="L99" s="176" t="n">
        <f aca="false">IF(AND(A100&lt;&gt;"",A99=""),L98+1,L98)</f>
        <v>10</v>
      </c>
      <c r="M99" s="101" t="str">
        <f aca="false">IF(OR(A99="Insumo",A99="Composição Auxiliar"),J99,"")</f>
        <v/>
      </c>
      <c r="N99" s="102" t="str">
        <f aca="false">IF(E99="Mão de Obra",J99,"")</f>
        <v/>
      </c>
      <c r="O99" s="102" t="str">
        <f aca="false">IF(N99&lt;&gt;"","",M99)</f>
        <v/>
      </c>
      <c r="P99" s="103" t="str">
        <f aca="false">IF(A99="Composição",B99,"")</f>
        <v/>
      </c>
      <c r="Q99" s="102" t="str">
        <f aca="false">IF(P99&lt;&gt;"",SUMIF(L99:L199,L99,N99:N199),"")</f>
        <v/>
      </c>
      <c r="R99" s="102" t="str">
        <f aca="false">IF(P99&lt;&gt;"",SUMIF(L99:L199,L99,O99:O199),"")</f>
        <v/>
      </c>
    </row>
    <row r="100" customFormat="false" ht="14.5" hidden="false" customHeight="false" outlineLevel="0" collapsed="false">
      <c r="A100" s="149"/>
      <c r="B100" s="149"/>
      <c r="C100" s="149"/>
      <c r="D100" s="149"/>
      <c r="E100" s="149"/>
      <c r="F100" s="150"/>
      <c r="G100" s="149"/>
      <c r="H100" s="151"/>
      <c r="I100" s="151"/>
      <c r="J100" s="150"/>
      <c r="K100" s="217"/>
      <c r="L100" s="176" t="n">
        <f aca="false">IF(AND(A101&lt;&gt;"",A100=""),L99+1,L99)</f>
        <v>10</v>
      </c>
      <c r="M100" s="101" t="str">
        <f aca="false">IF(OR(A100="Insumo",A100="Composição Auxiliar"),J100,"")</f>
        <v/>
      </c>
      <c r="N100" s="102" t="str">
        <f aca="false">IF(E100="Mão de Obra",J100,"")</f>
        <v/>
      </c>
      <c r="O100" s="102" t="str">
        <f aca="false">IF(N100&lt;&gt;"","",M100)</f>
        <v/>
      </c>
      <c r="P100" s="103" t="str">
        <f aca="false">IF(A100="Composição",B100,"")</f>
        <v/>
      </c>
      <c r="Q100" s="102" t="str">
        <f aca="false">IF(P100&lt;&gt;"",SUMIF(L100:L200,L100,N100:N200),"")</f>
        <v/>
      </c>
      <c r="R100" s="102" t="str">
        <f aca="false">IF(P100&lt;&gt;"",SUMIF(L100:L200,L100,O100:O200),"")</f>
        <v/>
      </c>
    </row>
    <row r="101" customFormat="false" ht="14.5" hidden="false" customHeight="false" outlineLevel="0" collapsed="false">
      <c r="A101" s="155"/>
      <c r="B101" s="155"/>
      <c r="C101" s="155"/>
      <c r="D101" s="155"/>
      <c r="E101" s="155"/>
      <c r="F101" s="155"/>
      <c r="G101" s="155"/>
      <c r="H101" s="155"/>
      <c r="I101" s="155"/>
      <c r="J101" s="155"/>
      <c r="K101" s="217"/>
      <c r="L101" s="176" t="n">
        <f aca="false">IF(AND(A102&lt;&gt;"",A101=""),L100+1,L100)</f>
        <v>10</v>
      </c>
      <c r="M101" s="101" t="str">
        <f aca="false">IF(OR(A101="Insumo",A101="Composição Auxiliar"),J101,"")</f>
        <v/>
      </c>
      <c r="N101" s="102" t="str">
        <f aca="false">IF(E101="Mão de Obra",J101,"")</f>
        <v/>
      </c>
      <c r="O101" s="102" t="str">
        <f aca="false">IF(N101&lt;&gt;"","",M101)</f>
        <v/>
      </c>
      <c r="P101" s="103" t="str">
        <f aca="false">IF(A101="Composição",B101,"")</f>
        <v/>
      </c>
      <c r="Q101" s="102" t="str">
        <f aca="false">IF(P101&lt;&gt;"",SUMIF(L101:L201,L101,N101:N201),"")</f>
        <v/>
      </c>
      <c r="R101" s="102" t="str">
        <f aca="false">IF(P101&lt;&gt;"",SUMIF(L101:L201,L101,O101:O201),"")</f>
        <v/>
      </c>
    </row>
    <row r="102" customFormat="false" ht="25" hidden="false" customHeight="true" outlineLevel="0" collapsed="false">
      <c r="A102" s="118"/>
      <c r="B102" s="119" t="s">
        <v>115</v>
      </c>
      <c r="C102" s="118" t="s">
        <v>116</v>
      </c>
      <c r="D102" s="118" t="s">
        <v>117</v>
      </c>
      <c r="E102" s="118" t="s">
        <v>118</v>
      </c>
      <c r="F102" s="118"/>
      <c r="G102" s="120" t="s">
        <v>119</v>
      </c>
      <c r="H102" s="119" t="s">
        <v>120</v>
      </c>
      <c r="I102" s="119" t="s">
        <v>130</v>
      </c>
      <c r="J102" s="119" t="s">
        <v>131</v>
      </c>
      <c r="K102" s="217"/>
      <c r="L102" s="176" t="n">
        <f aca="false">IF(AND(A103&lt;&gt;"",A102=""),L101+1,L101)</f>
        <v>11</v>
      </c>
      <c r="M102" s="101" t="str">
        <f aca="false">IF(OR(A102="Insumo",A102="Composição Auxiliar"),J102,"")</f>
        <v/>
      </c>
      <c r="N102" s="102" t="str">
        <f aca="false">IF(E102="Mão de Obra",J102,"")</f>
        <v/>
      </c>
      <c r="O102" s="102" t="str">
        <f aca="false">IF(N102&lt;&gt;"","",M102)</f>
        <v/>
      </c>
      <c r="P102" s="103" t="str">
        <f aca="false">IF(A102="Composição",B102,"")</f>
        <v/>
      </c>
      <c r="Q102" s="102" t="str">
        <f aca="false">IF(P102&lt;&gt;"",SUMIF(L102:L202,L102,N102:N202),"")</f>
        <v/>
      </c>
      <c r="R102" s="102" t="str">
        <f aca="false">IF(P102&lt;&gt;"",SUMIF(L102:L202,L102,O102:O202),"")</f>
        <v/>
      </c>
    </row>
    <row r="103" customFormat="false" ht="37.5" hidden="false" customHeight="true" outlineLevel="0" collapsed="false">
      <c r="A103" s="122" t="s">
        <v>121</v>
      </c>
      <c r="B103" s="55" t="s">
        <v>136</v>
      </c>
      <c r="C103" s="122" t="s">
        <v>122</v>
      </c>
      <c r="D103" s="122" t="s">
        <v>137</v>
      </c>
      <c r="E103" s="122" t="s">
        <v>138</v>
      </c>
      <c r="F103" s="122"/>
      <c r="G103" s="123" t="s">
        <v>139</v>
      </c>
      <c r="H103" s="124" t="n">
        <v>1</v>
      </c>
      <c r="I103" s="125" t="n">
        <f aca="false">SUMIF(L:L,$L103,M:M)</f>
        <v>394.61</v>
      </c>
      <c r="J103" s="125" t="n">
        <f aca="false">TRUNC(H103*I103,2)</f>
        <v>394.61</v>
      </c>
      <c r="K103" s="217"/>
      <c r="L103" s="176" t="n">
        <f aca="false">IF(AND(A104&lt;&gt;"",A103=""),L102+1,L102)</f>
        <v>11</v>
      </c>
      <c r="M103" s="101" t="str">
        <f aca="false">IF(OR(A103="Insumo",A103="Composição Auxiliar"),J103,"")</f>
        <v/>
      </c>
      <c r="N103" s="102" t="str">
        <f aca="false">IF(E103="Mão de Obra",J103,"")</f>
        <v/>
      </c>
      <c r="O103" s="102" t="str">
        <f aca="false">IF(N103&lt;&gt;"","",M103)</f>
        <v/>
      </c>
      <c r="P103" s="103" t="str">
        <f aca="false">IF(A103="Composição",B103,"")</f>
        <v> 94962 </v>
      </c>
      <c r="Q103" s="102" t="n">
        <f aca="false">IF(P103&lt;&gt;"",SUMIF(L103:L203,L103,N103:N203),"")</f>
        <v>0</v>
      </c>
      <c r="R103" s="102" t="n">
        <f aca="false">IF(P103&lt;&gt;"",SUMIF(L103:L203,L103,O103:O203),"")</f>
        <v>394.61</v>
      </c>
    </row>
    <row r="104" customFormat="false" ht="37.5" hidden="false" customHeight="true" outlineLevel="0" collapsed="false">
      <c r="A104" s="129" t="s">
        <v>126</v>
      </c>
      <c r="B104" s="130" t="s">
        <v>261</v>
      </c>
      <c r="C104" s="129" t="s">
        <v>122</v>
      </c>
      <c r="D104" s="129" t="s">
        <v>262</v>
      </c>
      <c r="E104" s="129" t="s">
        <v>161</v>
      </c>
      <c r="F104" s="129"/>
      <c r="G104" s="131" t="s">
        <v>162</v>
      </c>
      <c r="H104" s="132" t="n">
        <v>0.7188</v>
      </c>
      <c r="I104" s="133" t="n">
        <f aca="false">SUMIFS(J:J,A:A,"Composição",B:B,$B104)</f>
        <v>0.34</v>
      </c>
      <c r="J104" s="133" t="n">
        <f aca="false">TRUNC(H104*I104,2)</f>
        <v>0.24</v>
      </c>
      <c r="K104" s="217"/>
      <c r="L104" s="176" t="n">
        <f aca="false">IF(AND(A105&lt;&gt;"",A104=""),L103+1,L103)</f>
        <v>11</v>
      </c>
      <c r="M104" s="101" t="n">
        <f aca="false">IF(OR(A104="Insumo",A104="Composição Auxiliar"),J104,"")</f>
        <v>0.24</v>
      </c>
      <c r="N104" s="102" t="str">
        <f aca="false">IF(E104="Mão de Obra",J104,"")</f>
        <v/>
      </c>
      <c r="O104" s="102" t="n">
        <f aca="false">IF(N104&lt;&gt;"","",M104)</f>
        <v>0.24</v>
      </c>
      <c r="P104" s="103" t="str">
        <f aca="false">IF(A104="Composição",B104,"")</f>
        <v/>
      </c>
      <c r="Q104" s="102" t="str">
        <f aca="false">IF(P104&lt;&gt;"",SUMIF(L104:L204,L104,N104:N204),"")</f>
        <v/>
      </c>
      <c r="R104" s="102" t="str">
        <f aca="false">IF(P104&lt;&gt;"",SUMIF(L104:L204,L104,O104:O204),"")</f>
        <v/>
      </c>
    </row>
    <row r="105" customFormat="false" ht="37.5" hidden="false" customHeight="true" outlineLevel="0" collapsed="false">
      <c r="A105" s="129" t="s">
        <v>126</v>
      </c>
      <c r="B105" s="130" t="s">
        <v>267</v>
      </c>
      <c r="C105" s="129" t="s">
        <v>122</v>
      </c>
      <c r="D105" s="129" t="s">
        <v>268</v>
      </c>
      <c r="E105" s="129" t="s">
        <v>161</v>
      </c>
      <c r="F105" s="129"/>
      <c r="G105" s="131" t="s">
        <v>165</v>
      </c>
      <c r="H105" s="132" t="n">
        <v>0.7623</v>
      </c>
      <c r="I105" s="133" t="n">
        <f aca="false">SUMIFS(J:J,A:A,"Composição",B:B,$B105)</f>
        <v>2.11</v>
      </c>
      <c r="J105" s="133" t="n">
        <f aca="false">TRUNC(H105*I105,2)</f>
        <v>1.6</v>
      </c>
      <c r="K105" s="217"/>
      <c r="L105" s="176" t="n">
        <f aca="false">IF(AND(A106&lt;&gt;"",A105=""),L104+1,L104)</f>
        <v>11</v>
      </c>
      <c r="M105" s="101" t="n">
        <f aca="false">IF(OR(A105="Insumo",A105="Composição Auxiliar"),J105,"")</f>
        <v>1.6</v>
      </c>
      <c r="N105" s="102" t="str">
        <f aca="false">IF(E105="Mão de Obra",J105,"")</f>
        <v/>
      </c>
      <c r="O105" s="102" t="n">
        <f aca="false">IF(N105&lt;&gt;"","",M105)</f>
        <v>1.6</v>
      </c>
      <c r="P105" s="103" t="str">
        <f aca="false">IF(A105="Composição",B105,"")</f>
        <v/>
      </c>
      <c r="Q105" s="102" t="str">
        <f aca="false">IF(P105&lt;&gt;"",SUMIF(L105:L205,L105,N105:N205),"")</f>
        <v/>
      </c>
      <c r="R105" s="102" t="str">
        <f aca="false">IF(P105&lt;&gt;"",SUMIF(L105:L205,L105,O105:O205),"")</f>
        <v/>
      </c>
    </row>
    <row r="106" customFormat="false" ht="25" hidden="false" customHeight="true" outlineLevel="0" collapsed="false">
      <c r="A106" s="129" t="s">
        <v>126</v>
      </c>
      <c r="B106" s="130" t="s">
        <v>142</v>
      </c>
      <c r="C106" s="129" t="s">
        <v>122</v>
      </c>
      <c r="D106" s="129" t="s">
        <v>143</v>
      </c>
      <c r="E106" s="129" t="s">
        <v>124</v>
      </c>
      <c r="F106" s="129"/>
      <c r="G106" s="131" t="s">
        <v>125</v>
      </c>
      <c r="H106" s="132" t="n">
        <v>2.3433</v>
      </c>
      <c r="I106" s="133" t="n">
        <f aca="false">SUMIFS(J:J,A:A,"Composição",B:B,$B106)</f>
        <v>17.74</v>
      </c>
      <c r="J106" s="133" t="n">
        <f aca="false">TRUNC(H106*I106,2)</f>
        <v>41.57</v>
      </c>
      <c r="K106" s="217"/>
      <c r="L106" s="176" t="n">
        <f aca="false">IF(AND(A107&lt;&gt;"",A106=""),L105+1,L105)</f>
        <v>11</v>
      </c>
      <c r="M106" s="101" t="n">
        <f aca="false">IF(OR(A106="Insumo",A106="Composição Auxiliar"),J106,"")</f>
        <v>41.57</v>
      </c>
      <c r="N106" s="102" t="str">
        <f aca="false">IF(E106="Mão de Obra",J106,"")</f>
        <v/>
      </c>
      <c r="O106" s="102" t="n">
        <f aca="false">IF(N106&lt;&gt;"","",M106)</f>
        <v>41.57</v>
      </c>
      <c r="P106" s="103" t="str">
        <f aca="false">IF(A106="Composição",B106,"")</f>
        <v/>
      </c>
      <c r="Q106" s="102" t="str">
        <f aca="false">IF(P106&lt;&gt;"",SUMIF(L106:L206,L106,N106:N206),"")</f>
        <v/>
      </c>
      <c r="R106" s="102" t="str">
        <f aca="false">IF(P106&lt;&gt;"",SUMIF(L106:L206,L106,O106:O206),"")</f>
        <v/>
      </c>
    </row>
    <row r="107" customFormat="false" ht="14.15" hidden="false" customHeight="true" outlineLevel="0" collapsed="false">
      <c r="A107" s="129" t="s">
        <v>126</v>
      </c>
      <c r="B107" s="130" t="s">
        <v>281</v>
      </c>
      <c r="C107" s="129" t="s">
        <v>122</v>
      </c>
      <c r="D107" s="129" t="s">
        <v>282</v>
      </c>
      <c r="E107" s="129" t="s">
        <v>124</v>
      </c>
      <c r="F107" s="129"/>
      <c r="G107" s="131" t="s">
        <v>125</v>
      </c>
      <c r="H107" s="132" t="n">
        <v>1.4811</v>
      </c>
      <c r="I107" s="133" t="n">
        <f aca="false">SUMIFS(J:J,A:A,"Composição",B:B,$B107)</f>
        <v>25.07</v>
      </c>
      <c r="J107" s="133" t="n">
        <f aca="false">TRUNC(H107*I107,2)</f>
        <v>37.13</v>
      </c>
      <c r="K107" s="217"/>
      <c r="L107" s="176" t="n">
        <f aca="false">IF(AND(A108&lt;&gt;"",A107=""),L106+1,L106)</f>
        <v>11</v>
      </c>
      <c r="M107" s="101" t="n">
        <f aca="false">IF(OR(A107="Insumo",A107="Composição Auxiliar"),J107,"")</f>
        <v>37.13</v>
      </c>
      <c r="N107" s="102" t="str">
        <f aca="false">IF(E107="Mão de Obra",J107,"")</f>
        <v/>
      </c>
      <c r="O107" s="102" t="n">
        <f aca="false">IF(N107&lt;&gt;"","",M107)</f>
        <v>37.13</v>
      </c>
      <c r="P107" s="103" t="str">
        <f aca="false">IF(A107="Composição",B107,"")</f>
        <v/>
      </c>
      <c r="Q107" s="102" t="str">
        <f aca="false">IF(P107&lt;&gt;"",SUMIF(L107:L207,L107,N107:N207),"")</f>
        <v/>
      </c>
      <c r="R107" s="102" t="str">
        <f aca="false">IF(P107&lt;&gt;"",SUMIF(L107:L207,L107,O107:O207),"")</f>
        <v/>
      </c>
    </row>
    <row r="108" customFormat="false" ht="25" hidden="false" customHeight="false" outlineLevel="0" collapsed="false">
      <c r="A108" s="143" t="s">
        <v>128</v>
      </c>
      <c r="B108" s="144" t="s">
        <v>283</v>
      </c>
      <c r="C108" s="143" t="str">
        <f aca="false">VLOOKUP(B108,INSUMOS!$A:$I,2,0)</f>
        <v>SINAPI</v>
      </c>
      <c r="D108" s="143" t="str">
        <f aca="false">VLOOKUP(B108,INSUMOS!$A:$I,3,0)</f>
        <v>AREIA MEDIA - POSTO JAZIDA/FORNECEDOR (RETIRADO NA JAZIDA, SEM TRANSPORTE)</v>
      </c>
      <c r="E108" s="143" t="str">
        <f aca="false">VLOOKUP(B108,INSUMOS!$A:$I,4,0)</f>
        <v>Material</v>
      </c>
      <c r="F108" s="143"/>
      <c r="G108" s="145" t="str">
        <f aca="false">VLOOKUP(B108,INSUMOS!$A:$I,5,0)</f>
        <v>m³</v>
      </c>
      <c r="H108" s="146" t="n">
        <v>0.8269</v>
      </c>
      <c r="I108" s="147" t="n">
        <f aca="false">VLOOKUP(B108,INSUMOS!$A:$I,8,0)</f>
        <v>150</v>
      </c>
      <c r="J108" s="147" t="n">
        <f aca="false">TRUNC(H108*I108,2)</f>
        <v>124.03</v>
      </c>
      <c r="K108" s="217"/>
      <c r="L108" s="176" t="n">
        <f aca="false">IF(AND(A109&lt;&gt;"",A108=""),L107+1,L107)</f>
        <v>11</v>
      </c>
      <c r="M108" s="101" t="n">
        <f aca="false">IF(OR(A108="Insumo",A108="Composição Auxiliar"),J108,"")</f>
        <v>124.03</v>
      </c>
      <c r="N108" s="102" t="str">
        <f aca="false">IF(E108="Mão de Obra",J108,"")</f>
        <v/>
      </c>
      <c r="O108" s="102" t="n">
        <f aca="false">IF(N108&lt;&gt;"","",M108)</f>
        <v>124.03</v>
      </c>
      <c r="P108" s="103" t="str">
        <f aca="false">IF(A108="Composição",B108,"")</f>
        <v/>
      </c>
      <c r="Q108" s="102" t="str">
        <f aca="false">IF(P108&lt;&gt;"",SUMIF(L108:L208,L108,N108:N208),"")</f>
        <v/>
      </c>
      <c r="R108" s="102" t="str">
        <f aca="false">IF(P108&lt;&gt;"",SUMIF(L108:L208,L108,O108:O208),"")</f>
        <v/>
      </c>
    </row>
    <row r="109" customFormat="false" ht="14" hidden="false" customHeight="false" outlineLevel="0" collapsed="false">
      <c r="A109" s="143" t="s">
        <v>128</v>
      </c>
      <c r="B109" s="144" t="s">
        <v>284</v>
      </c>
      <c r="C109" s="143" t="str">
        <f aca="false">VLOOKUP(B109,INSUMOS!$A:$I,2,0)</f>
        <v>SINAPI</v>
      </c>
      <c r="D109" s="143" t="str">
        <f aca="false">VLOOKUP(B109,INSUMOS!$A:$I,3,0)</f>
        <v>CIMENTO PORTLAND COMPOSTO CP II-32</v>
      </c>
      <c r="E109" s="143" t="str">
        <f aca="false">VLOOKUP(B109,INSUMOS!$A:$I,4,0)</f>
        <v>Material</v>
      </c>
      <c r="F109" s="143"/>
      <c r="G109" s="145" t="str">
        <f aca="false">VLOOKUP(B109,INSUMOS!$A:$I,5,0)</f>
        <v>KG</v>
      </c>
      <c r="H109" s="146" t="n">
        <v>212.0194</v>
      </c>
      <c r="I109" s="147" t="n">
        <f aca="false">VLOOKUP(B109,INSUMOS!$A:$I,8,0)</f>
        <v>0.66</v>
      </c>
      <c r="J109" s="147" t="n">
        <f aca="false">TRUNC(H109*I109,2)</f>
        <v>139.93</v>
      </c>
      <c r="K109" s="217"/>
      <c r="L109" s="176" t="n">
        <f aca="false">IF(AND(A110&lt;&gt;"",A109=""),L108+1,L108)</f>
        <v>11</v>
      </c>
      <c r="M109" s="101" t="n">
        <f aca="false">IF(OR(A109="Insumo",A109="Composição Auxiliar"),J109,"")</f>
        <v>139.93</v>
      </c>
      <c r="N109" s="102" t="str">
        <f aca="false">IF(E109="Mão de Obra",J109,"")</f>
        <v/>
      </c>
      <c r="O109" s="102" t="n">
        <f aca="false">IF(N109&lt;&gt;"","",M109)</f>
        <v>139.93</v>
      </c>
      <c r="P109" s="103" t="str">
        <f aca="false">IF(A109="Composição",B109,"")</f>
        <v/>
      </c>
      <c r="Q109" s="102" t="str">
        <f aca="false">IF(P109&lt;&gt;"",SUMIF(L109:L209,L109,N109:N209),"")</f>
        <v/>
      </c>
      <c r="R109" s="102" t="str">
        <f aca="false">IF(P109&lt;&gt;"",SUMIF(L109:L209,L109,O109:O209),"")</f>
        <v/>
      </c>
    </row>
    <row r="110" customFormat="false" ht="25" hidden="false" customHeight="false" outlineLevel="0" collapsed="false">
      <c r="A110" s="143" t="s">
        <v>128</v>
      </c>
      <c r="B110" s="144" t="s">
        <v>285</v>
      </c>
      <c r="C110" s="143" t="str">
        <f aca="false">VLOOKUP(B110,INSUMOS!$A:$I,2,0)</f>
        <v>SINAPI</v>
      </c>
      <c r="D110" s="143" t="str">
        <f aca="false">VLOOKUP(B110,INSUMOS!$A:$I,3,0)</f>
        <v>PEDRA BRITADA N. 1 (9,5 a 19 MM) POSTO PEDREIRA/FORNECEDOR, SEM FRETE</v>
      </c>
      <c r="E110" s="143" t="str">
        <f aca="false">VLOOKUP(B110,INSUMOS!$A:$I,4,0)</f>
        <v>Material</v>
      </c>
      <c r="F110" s="143"/>
      <c r="G110" s="145" t="str">
        <f aca="false">VLOOKUP(B110,INSUMOS!$A:$I,5,0)</f>
        <v>m³</v>
      </c>
      <c r="H110" s="146" t="n">
        <v>0.5782</v>
      </c>
      <c r="I110" s="147" t="n">
        <f aca="false">VLOOKUP(B110,INSUMOS!$A:$I,8,0)</f>
        <v>86.68</v>
      </c>
      <c r="J110" s="147" t="n">
        <f aca="false">TRUNC(H110*I110,2)</f>
        <v>50.11</v>
      </c>
      <c r="K110" s="217"/>
      <c r="L110" s="176" t="n">
        <f aca="false">IF(AND(A111&lt;&gt;"",A110=""),L109+1,L109)</f>
        <v>11</v>
      </c>
      <c r="M110" s="101" t="n">
        <f aca="false">IF(OR(A110="Insumo",A110="Composição Auxiliar"),J110,"")</f>
        <v>50.11</v>
      </c>
      <c r="N110" s="102" t="str">
        <f aca="false">IF(E110="Mão de Obra",J110,"")</f>
        <v/>
      </c>
      <c r="O110" s="102" t="n">
        <f aca="false">IF(N110&lt;&gt;"","",M110)</f>
        <v>50.11</v>
      </c>
      <c r="P110" s="103" t="str">
        <f aca="false">IF(A110="Composição",B110,"")</f>
        <v/>
      </c>
      <c r="Q110" s="102" t="str">
        <f aca="false">IF(P110&lt;&gt;"",SUMIF(L110:L210,L110,N110:N210),"")</f>
        <v/>
      </c>
      <c r="R110" s="102" t="str">
        <f aca="false">IF(P110&lt;&gt;"",SUMIF(L110:L210,L110,O110:O210),"")</f>
        <v/>
      </c>
    </row>
    <row r="111" customFormat="false" ht="14" hidden="false" customHeight="false" outlineLevel="0" collapsed="false">
      <c r="A111" s="149"/>
      <c r="B111" s="149"/>
      <c r="C111" s="149"/>
      <c r="D111" s="149"/>
      <c r="E111" s="149"/>
      <c r="F111" s="150"/>
      <c r="G111" s="149"/>
      <c r="H111" s="150"/>
      <c r="I111" s="149"/>
      <c r="J111" s="150"/>
      <c r="K111" s="217"/>
      <c r="L111" s="176" t="n">
        <f aca="false">IF(AND(A112&lt;&gt;"",A111=""),L110+1,L110)</f>
        <v>11</v>
      </c>
      <c r="M111" s="101" t="str">
        <f aca="false">IF(OR(A111="Insumo",A111="Composição Auxiliar"),J111,"")</f>
        <v/>
      </c>
      <c r="N111" s="102" t="str">
        <f aca="false">IF(E111="Mão de Obra",J111,"")</f>
        <v/>
      </c>
      <c r="O111" s="102" t="str">
        <f aca="false">IF(N111&lt;&gt;"","",M111)</f>
        <v/>
      </c>
      <c r="P111" s="103" t="str">
        <f aca="false">IF(A111="Composição",B111,"")</f>
        <v/>
      </c>
      <c r="Q111" s="102" t="str">
        <f aca="false">IF(P111&lt;&gt;"",SUMIF(L111:L211,L111,N111:N211),"")</f>
        <v/>
      </c>
      <c r="R111" s="102" t="str">
        <f aca="false">IF(P111&lt;&gt;"",SUMIF(L111:L211,L111,O111:O211),"")</f>
        <v/>
      </c>
    </row>
    <row r="112" customFormat="false" ht="14.5" hidden="false" customHeight="false" outlineLevel="0" collapsed="false">
      <c r="A112" s="149"/>
      <c r="B112" s="149"/>
      <c r="C112" s="149"/>
      <c r="D112" s="149"/>
      <c r="E112" s="149"/>
      <c r="F112" s="150"/>
      <c r="G112" s="149"/>
      <c r="H112" s="151"/>
      <c r="I112" s="151"/>
      <c r="J112" s="150"/>
      <c r="K112" s="217"/>
      <c r="L112" s="176" t="n">
        <f aca="false">IF(AND(A113&lt;&gt;"",A112=""),L111+1,L111)</f>
        <v>11</v>
      </c>
      <c r="M112" s="101" t="str">
        <f aca="false">IF(OR(A112="Insumo",A112="Composição Auxiliar"),J112,"")</f>
        <v/>
      </c>
      <c r="N112" s="102" t="str">
        <f aca="false">IF(E112="Mão de Obra",J112,"")</f>
        <v/>
      </c>
      <c r="O112" s="102" t="str">
        <f aca="false">IF(N112&lt;&gt;"","",M112)</f>
        <v/>
      </c>
      <c r="P112" s="103" t="str">
        <f aca="false">IF(A112="Composição",B112,"")</f>
        <v/>
      </c>
      <c r="Q112" s="102" t="str">
        <f aca="false">IF(P112&lt;&gt;"",SUMIF(L112:L212,L112,N112:N212),"")</f>
        <v/>
      </c>
      <c r="R112" s="102" t="str">
        <f aca="false">IF(P112&lt;&gt;"",SUMIF(L112:L212,L112,O112:O212),"")</f>
        <v/>
      </c>
    </row>
    <row r="113" customFormat="false" ht="38.25" hidden="false" customHeight="true" outlineLevel="0" collapsed="false">
      <c r="A113" s="155"/>
      <c r="B113" s="155"/>
      <c r="C113" s="155"/>
      <c r="D113" s="155"/>
      <c r="E113" s="155"/>
      <c r="F113" s="155"/>
      <c r="G113" s="155"/>
      <c r="H113" s="155"/>
      <c r="I113" s="155"/>
      <c r="J113" s="155"/>
      <c r="K113" s="217"/>
      <c r="L113" s="176" t="n">
        <f aca="false">IF(AND(A114&lt;&gt;"",A113=""),L112+1,L112)</f>
        <v>11</v>
      </c>
      <c r="M113" s="101" t="str">
        <f aca="false">IF(OR(A113="Insumo",A113="Composição Auxiliar"),J113,"")</f>
        <v/>
      </c>
      <c r="N113" s="102" t="str">
        <f aca="false">IF(E113="Mão de Obra",J113,"")</f>
        <v/>
      </c>
      <c r="O113" s="102" t="str">
        <f aca="false">IF(N113&lt;&gt;"","",M113)</f>
        <v/>
      </c>
      <c r="P113" s="103" t="str">
        <f aca="false">IF(A113="Composição",B113,"")</f>
        <v/>
      </c>
      <c r="Q113" s="102" t="str">
        <f aca="false">IF(P113&lt;&gt;"",SUMIF(L113:L213,L113,N113:N213),"")</f>
        <v/>
      </c>
      <c r="R113" s="102" t="str">
        <f aca="false">IF(P113&lt;&gt;"",SUMIF(L113:L213,L113,O113:O213),"")</f>
        <v/>
      </c>
    </row>
    <row r="114" customFormat="false" ht="38.25" hidden="false" customHeight="true" outlineLevel="0" collapsed="false">
      <c r="A114" s="118"/>
      <c r="B114" s="119" t="s">
        <v>115</v>
      </c>
      <c r="C114" s="118" t="s">
        <v>116</v>
      </c>
      <c r="D114" s="118" t="s">
        <v>117</v>
      </c>
      <c r="E114" s="118" t="s">
        <v>118</v>
      </c>
      <c r="F114" s="118"/>
      <c r="G114" s="120" t="s">
        <v>119</v>
      </c>
      <c r="H114" s="119" t="s">
        <v>120</v>
      </c>
      <c r="I114" s="119" t="s">
        <v>130</v>
      </c>
      <c r="J114" s="119" t="s">
        <v>131</v>
      </c>
      <c r="K114" s="217"/>
      <c r="L114" s="176" t="n">
        <f aca="false">IF(AND(A115&lt;&gt;"",A114=""),L113+1,L113)</f>
        <v>12</v>
      </c>
      <c r="M114" s="101" t="str">
        <f aca="false">IF(OR(A114="Insumo",A114="Composição Auxiliar"),J114,"")</f>
        <v/>
      </c>
      <c r="N114" s="102" t="str">
        <f aca="false">IF(E114="Mão de Obra",J114,"")</f>
        <v/>
      </c>
      <c r="O114" s="102" t="str">
        <f aca="false">IF(N114&lt;&gt;"","",M114)</f>
        <v/>
      </c>
      <c r="P114" s="103" t="str">
        <f aca="false">IF(A114="Composição",B114,"")</f>
        <v/>
      </c>
      <c r="Q114" s="102" t="str">
        <f aca="false">IF(P114&lt;&gt;"",SUMIF(L114:L214,L114,N114:N214),"")</f>
        <v/>
      </c>
      <c r="R114" s="102" t="str">
        <f aca="false">IF(P114&lt;&gt;"",SUMIF(L114:L214,L114,O114:O214),"")</f>
        <v/>
      </c>
    </row>
    <row r="115" customFormat="false" ht="25" hidden="false" customHeight="true" outlineLevel="0" collapsed="false">
      <c r="A115" s="122" t="s">
        <v>121</v>
      </c>
      <c r="B115" s="55" t="s">
        <v>250</v>
      </c>
      <c r="C115" s="122" t="s">
        <v>122</v>
      </c>
      <c r="D115" s="122" t="s">
        <v>251</v>
      </c>
      <c r="E115" s="122" t="s">
        <v>124</v>
      </c>
      <c r="F115" s="122"/>
      <c r="G115" s="123" t="s">
        <v>125</v>
      </c>
      <c r="H115" s="124" t="n">
        <v>1</v>
      </c>
      <c r="I115" s="125" t="n">
        <f aca="false">SUMIF(L:L,$L115,M:M)</f>
        <v>0.4</v>
      </c>
      <c r="J115" s="125" t="n">
        <f aca="false">TRUNC(H115*I115,2)</f>
        <v>0.4</v>
      </c>
      <c r="K115" s="217"/>
      <c r="L115" s="176" t="n">
        <f aca="false">IF(AND(A116&lt;&gt;"",A115=""),L114+1,L114)</f>
        <v>12</v>
      </c>
      <c r="M115" s="101" t="str">
        <f aca="false">IF(OR(A115="Insumo",A115="Composição Auxiliar"),J115,"")</f>
        <v/>
      </c>
      <c r="N115" s="102" t="str">
        <f aca="false">IF(E115="Mão de Obra",J115,"")</f>
        <v/>
      </c>
      <c r="O115" s="102" t="str">
        <f aca="false">IF(N115&lt;&gt;"","",M115)</f>
        <v/>
      </c>
      <c r="P115" s="103" t="str">
        <f aca="false">IF(A115="Composição",B115,"")</f>
        <v> 95316 </v>
      </c>
      <c r="Q115" s="102" t="n">
        <f aca="false">IF(P115&lt;&gt;"",SUMIF(L115:L215,L115,N115:N215),"")</f>
        <v>0.4</v>
      </c>
      <c r="R115" s="102" t="n">
        <f aca="false">IF(P115&lt;&gt;"",SUMIF(L115:L215,L115,O115:O215),"")</f>
        <v>0</v>
      </c>
    </row>
    <row r="116" customFormat="false" ht="14" hidden="false" customHeight="false" outlineLevel="0" collapsed="false">
      <c r="A116" s="143" t="s">
        <v>128</v>
      </c>
      <c r="B116" s="144" t="s">
        <v>252</v>
      </c>
      <c r="C116" s="143" t="str">
        <f aca="false">VLOOKUP(B116,INSUMOS!$A:$I,2,0)</f>
        <v>SINAPI</v>
      </c>
      <c r="D116" s="143" t="str">
        <f aca="false">VLOOKUP(B116,INSUMOS!$A:$I,3,0)</f>
        <v>AJUDANTE DE ELETRICISTA</v>
      </c>
      <c r="E116" s="143" t="str">
        <f aca="false">VLOOKUP(B116,INSUMOS!$A:$I,4,0)</f>
        <v>Mão de Obra</v>
      </c>
      <c r="F116" s="143"/>
      <c r="G116" s="145" t="str">
        <f aca="false">VLOOKUP(B116,INSUMOS!$A:$I,5,0)</f>
        <v>H</v>
      </c>
      <c r="H116" s="146" t="n">
        <v>0.0302</v>
      </c>
      <c r="I116" s="147" t="n">
        <f aca="false">VLOOKUP(B116,INSUMOS!$A:$I,8,0)</f>
        <v>13.35</v>
      </c>
      <c r="J116" s="147" t="n">
        <f aca="false">TRUNC(H116*I116,2)</f>
        <v>0.4</v>
      </c>
      <c r="K116" s="217"/>
      <c r="L116" s="176" t="n">
        <f aca="false">IF(AND(A117&lt;&gt;"",A116=""),L115+1,L115)</f>
        <v>12</v>
      </c>
      <c r="M116" s="101" t="n">
        <f aca="false">IF(OR(A116="Insumo",A116="Composição Auxiliar"),J116,"")</f>
        <v>0.4</v>
      </c>
      <c r="N116" s="102" t="n">
        <f aca="false">IF(E116="Mão de Obra",J116,"")</f>
        <v>0.4</v>
      </c>
      <c r="O116" s="102" t="str">
        <f aca="false">IF(N116&lt;&gt;"","",M116)</f>
        <v/>
      </c>
      <c r="P116" s="103" t="str">
        <f aca="false">IF(A116="Composição",B116,"")</f>
        <v/>
      </c>
      <c r="Q116" s="102" t="str">
        <f aca="false">IF(P116&lt;&gt;"",SUMIF(L116:L216,L116,N116:N216),"")</f>
        <v/>
      </c>
      <c r="R116" s="102" t="str">
        <f aca="false">IF(P116&lt;&gt;"",SUMIF(L116:L216,L116,O116:O216),"")</f>
        <v/>
      </c>
    </row>
    <row r="117" customFormat="false" ht="14" hidden="false" customHeight="false" outlineLevel="0" collapsed="false">
      <c r="A117" s="149"/>
      <c r="B117" s="149"/>
      <c r="C117" s="149"/>
      <c r="D117" s="149"/>
      <c r="E117" s="149"/>
      <c r="F117" s="150"/>
      <c r="G117" s="149"/>
      <c r="H117" s="150"/>
      <c r="I117" s="149"/>
      <c r="J117" s="150"/>
      <c r="K117" s="217"/>
      <c r="L117" s="176" t="n">
        <f aca="false">IF(AND(A118&lt;&gt;"",A117=""),L116+1,L116)</f>
        <v>12</v>
      </c>
      <c r="M117" s="101" t="str">
        <f aca="false">IF(OR(A117="Insumo",A117="Composição Auxiliar"),J117,"")</f>
        <v/>
      </c>
      <c r="N117" s="102" t="str">
        <f aca="false">IF(E117="Mão de Obra",J117,"")</f>
        <v/>
      </c>
      <c r="O117" s="102" t="str">
        <f aca="false">IF(N117&lt;&gt;"","",M117)</f>
        <v/>
      </c>
      <c r="P117" s="103" t="str">
        <f aca="false">IF(A117="Composição",B117,"")</f>
        <v/>
      </c>
      <c r="Q117" s="102" t="str">
        <f aca="false">IF(P117&lt;&gt;"",SUMIF(L117:L217,L117,N117:N217),"")</f>
        <v/>
      </c>
      <c r="R117" s="102" t="str">
        <f aca="false">IF(P117&lt;&gt;"",SUMIF(L117:L217,L117,O117:O217),"")</f>
        <v/>
      </c>
    </row>
    <row r="118" customFormat="false" ht="14.5" hidden="false" customHeight="false" outlineLevel="0" collapsed="false">
      <c r="A118" s="149"/>
      <c r="B118" s="149"/>
      <c r="C118" s="149"/>
      <c r="D118" s="149"/>
      <c r="E118" s="149"/>
      <c r="F118" s="150"/>
      <c r="G118" s="149"/>
      <c r="H118" s="151"/>
      <c r="I118" s="151"/>
      <c r="J118" s="150"/>
      <c r="K118" s="217"/>
      <c r="L118" s="176" t="n">
        <f aca="false">IF(AND(A119&lt;&gt;"",A118=""),L117+1,L117)</f>
        <v>12</v>
      </c>
      <c r="M118" s="101" t="str">
        <f aca="false">IF(OR(A118="Insumo",A118="Composição Auxiliar"),J118,"")</f>
        <v/>
      </c>
      <c r="N118" s="102" t="str">
        <f aca="false">IF(E118="Mão de Obra",J118,"")</f>
        <v/>
      </c>
      <c r="O118" s="102" t="str">
        <f aca="false">IF(N118&lt;&gt;"","",M118)</f>
        <v/>
      </c>
      <c r="P118" s="103" t="str">
        <f aca="false">IF(A118="Composição",B118,"")</f>
        <v/>
      </c>
      <c r="Q118" s="102" t="str">
        <f aca="false">IF(P118&lt;&gt;"",SUMIF(L118:L218,L118,N118:N218),"")</f>
        <v/>
      </c>
      <c r="R118" s="102" t="str">
        <f aca="false">IF(P118&lt;&gt;"",SUMIF(L118:L218,L118,O118:O218),"")</f>
        <v/>
      </c>
    </row>
    <row r="119" customFormat="false" ht="14.5" hidden="false" customHeight="false" outlineLevel="0" collapsed="false">
      <c r="A119" s="155"/>
      <c r="B119" s="155"/>
      <c r="C119" s="155"/>
      <c r="D119" s="155"/>
      <c r="E119" s="155"/>
      <c r="F119" s="155"/>
      <c r="G119" s="155"/>
      <c r="H119" s="155"/>
      <c r="I119" s="155"/>
      <c r="J119" s="155"/>
      <c r="K119" s="217"/>
      <c r="L119" s="176" t="n">
        <f aca="false">IF(AND(A120&lt;&gt;"",A119=""),L118+1,L118)</f>
        <v>12</v>
      </c>
      <c r="M119" s="101" t="str">
        <f aca="false">IF(OR(A119="Insumo",A119="Composição Auxiliar"),J119,"")</f>
        <v/>
      </c>
      <c r="N119" s="102" t="str">
        <f aca="false">IF(E119="Mão de Obra",J119,"")</f>
        <v/>
      </c>
      <c r="O119" s="102" t="str">
        <f aca="false">IF(N119&lt;&gt;"","",M119)</f>
        <v/>
      </c>
      <c r="P119" s="103" t="str">
        <f aca="false">IF(A119="Composição",B119,"")</f>
        <v/>
      </c>
      <c r="Q119" s="102" t="str">
        <f aca="false">IF(P119&lt;&gt;"",SUMIF(L119:L219,L119,N119:N219),"")</f>
        <v/>
      </c>
      <c r="R119" s="102" t="str">
        <f aca="false">IF(P119&lt;&gt;"",SUMIF(L119:L219,L119,O119:O219),"")</f>
        <v/>
      </c>
    </row>
    <row r="120" customFormat="false" ht="14" hidden="false" customHeight="true" outlineLevel="0" collapsed="false">
      <c r="A120" s="118"/>
      <c r="B120" s="119" t="s">
        <v>115</v>
      </c>
      <c r="C120" s="118" t="s">
        <v>116</v>
      </c>
      <c r="D120" s="118" t="s">
        <v>117</v>
      </c>
      <c r="E120" s="118" t="s">
        <v>118</v>
      </c>
      <c r="F120" s="118"/>
      <c r="G120" s="120" t="s">
        <v>119</v>
      </c>
      <c r="H120" s="119" t="s">
        <v>120</v>
      </c>
      <c r="I120" s="119" t="s">
        <v>130</v>
      </c>
      <c r="J120" s="119" t="s">
        <v>131</v>
      </c>
      <c r="K120" s="217"/>
      <c r="L120" s="176" t="n">
        <f aca="false">IF(AND(A121&lt;&gt;"",A120=""),L119+1,L119)</f>
        <v>13</v>
      </c>
      <c r="M120" s="101" t="str">
        <f aca="false">IF(OR(A120="Insumo",A120="Composição Auxiliar"),J120,"")</f>
        <v/>
      </c>
      <c r="N120" s="102" t="str">
        <f aca="false">IF(E120="Mão de Obra",J120,"")</f>
        <v/>
      </c>
      <c r="O120" s="102" t="str">
        <f aca="false">IF(N120&lt;&gt;"","",M120)</f>
        <v/>
      </c>
      <c r="P120" s="103" t="str">
        <f aca="false">IF(A120="Composição",B120,"")</f>
        <v/>
      </c>
      <c r="Q120" s="102" t="str">
        <f aca="false">IF(P120&lt;&gt;"",SUMIF(L120:L220,L120,N120:N220),"")</f>
        <v/>
      </c>
      <c r="R120" s="102" t="str">
        <f aca="false">IF(P120&lt;&gt;"",SUMIF(L120:L220,L120,O120:O220),"")</f>
        <v/>
      </c>
    </row>
    <row r="121" customFormat="false" ht="25" hidden="false" customHeight="true" outlineLevel="0" collapsed="false">
      <c r="A121" s="122" t="s">
        <v>121</v>
      </c>
      <c r="B121" s="55" t="s">
        <v>256</v>
      </c>
      <c r="C121" s="122" t="s">
        <v>122</v>
      </c>
      <c r="D121" s="122" t="s">
        <v>257</v>
      </c>
      <c r="E121" s="122" t="s">
        <v>124</v>
      </c>
      <c r="F121" s="122"/>
      <c r="G121" s="123" t="s">
        <v>125</v>
      </c>
      <c r="H121" s="124" t="n">
        <v>1</v>
      </c>
      <c r="I121" s="125" t="n">
        <f aca="false">SUMIF(L:L,$L121,M:M)</f>
        <v>0.19</v>
      </c>
      <c r="J121" s="125" t="n">
        <f aca="false">TRUNC(H121*I121,2)</f>
        <v>0.19</v>
      </c>
      <c r="K121" s="217"/>
      <c r="L121" s="176" t="n">
        <f aca="false">IF(AND(A122&lt;&gt;"",A121=""),L120+1,L120)</f>
        <v>13</v>
      </c>
      <c r="M121" s="101" t="str">
        <f aca="false">IF(OR(A121="Insumo",A121="Composição Auxiliar"),J121,"")</f>
        <v/>
      </c>
      <c r="N121" s="102" t="str">
        <f aca="false">IF(E121="Mão de Obra",J121,"")</f>
        <v/>
      </c>
      <c r="O121" s="102" t="str">
        <f aca="false">IF(N121&lt;&gt;"","",M121)</f>
        <v/>
      </c>
      <c r="P121" s="103" t="str">
        <f aca="false">IF(A121="Composição",B121,"")</f>
        <v> 95317 </v>
      </c>
      <c r="Q121" s="102" t="n">
        <f aca="false">IF(P121&lt;&gt;"",SUMIF(L121:L221,L121,N121:N221),"")</f>
        <v>0.19</v>
      </c>
      <c r="R121" s="102" t="n">
        <f aca="false">IF(P121&lt;&gt;"",SUMIF(L121:L221,L121,O121:O221),"")</f>
        <v>0</v>
      </c>
    </row>
    <row r="122" customFormat="false" ht="14" hidden="false" customHeight="false" outlineLevel="0" collapsed="false">
      <c r="A122" s="143" t="s">
        <v>128</v>
      </c>
      <c r="B122" s="144" t="s">
        <v>258</v>
      </c>
      <c r="C122" s="143" t="str">
        <f aca="false">VLOOKUP(B122,INSUMOS!$A:$I,2,0)</f>
        <v>SINAPI</v>
      </c>
      <c r="D122" s="143" t="str">
        <f aca="false">VLOOKUP(B122,INSUMOS!$A:$I,3,0)</f>
        <v>AUXILIAR DE ENCANADOR OU BOMBEIRO HIDRAULICO (HORISTA)</v>
      </c>
      <c r="E122" s="143" t="str">
        <f aca="false">VLOOKUP(B122,INSUMOS!$A:$I,4,0)</f>
        <v>Mão de Obra</v>
      </c>
      <c r="F122" s="143"/>
      <c r="G122" s="145" t="str">
        <f aca="false">VLOOKUP(B122,INSUMOS!$A:$I,5,0)</f>
        <v>H</v>
      </c>
      <c r="H122" s="146" t="n">
        <v>0.0146</v>
      </c>
      <c r="I122" s="147" t="n">
        <f aca="false">VLOOKUP(B122,INSUMOS!$A:$I,8,0)</f>
        <v>13.35</v>
      </c>
      <c r="J122" s="147" t="n">
        <f aca="false">TRUNC(H122*I122,2)</f>
        <v>0.19</v>
      </c>
      <c r="K122" s="217"/>
      <c r="L122" s="176" t="n">
        <f aca="false">IF(AND(A123&lt;&gt;"",A122=""),L121+1,L121)</f>
        <v>13</v>
      </c>
      <c r="M122" s="101" t="n">
        <f aca="false">IF(OR(A122="Insumo",A122="Composição Auxiliar"),J122,"")</f>
        <v>0.19</v>
      </c>
      <c r="N122" s="102" t="n">
        <f aca="false">IF(E122="Mão de Obra",J122,"")</f>
        <v>0.19</v>
      </c>
      <c r="O122" s="102" t="str">
        <f aca="false">IF(N122&lt;&gt;"","",M122)</f>
        <v/>
      </c>
      <c r="P122" s="103" t="str">
        <f aca="false">IF(A122="Composição",B122,"")</f>
        <v/>
      </c>
      <c r="Q122" s="102" t="str">
        <f aca="false">IF(P122&lt;&gt;"",SUMIF(L122:L222,L122,N122:N222),"")</f>
        <v/>
      </c>
      <c r="R122" s="102" t="str">
        <f aca="false">IF(P122&lt;&gt;"",SUMIF(L122:L222,L122,O122:O222),"")</f>
        <v/>
      </c>
    </row>
    <row r="123" customFormat="false" ht="14" hidden="false" customHeight="false" outlineLevel="0" collapsed="false">
      <c r="A123" s="149"/>
      <c r="B123" s="149"/>
      <c r="C123" s="149"/>
      <c r="D123" s="149"/>
      <c r="E123" s="149"/>
      <c r="F123" s="150"/>
      <c r="G123" s="149"/>
      <c r="H123" s="150"/>
      <c r="I123" s="149"/>
      <c r="J123" s="150"/>
      <c r="K123" s="217"/>
      <c r="L123" s="176" t="n">
        <f aca="false">IF(AND(A124&lt;&gt;"",A123=""),L122+1,L122)</f>
        <v>13</v>
      </c>
      <c r="M123" s="101" t="str">
        <f aca="false">IF(OR(A123="Insumo",A123="Composição Auxiliar"),J123,"")</f>
        <v/>
      </c>
      <c r="N123" s="102" t="str">
        <f aca="false">IF(E123="Mão de Obra",J123,"")</f>
        <v/>
      </c>
      <c r="O123" s="102" t="str">
        <f aca="false">IF(N123&lt;&gt;"","",M123)</f>
        <v/>
      </c>
      <c r="P123" s="103" t="str">
        <f aca="false">IF(A123="Composição",B123,"")</f>
        <v/>
      </c>
      <c r="Q123" s="102" t="str">
        <f aca="false">IF(P123&lt;&gt;"",SUMIF(L123:L223,L123,N123:N223),"")</f>
        <v/>
      </c>
      <c r="R123" s="102" t="str">
        <f aca="false">IF(P123&lt;&gt;"",SUMIF(L123:L223,L123,O123:O223),"")</f>
        <v/>
      </c>
    </row>
    <row r="124" customFormat="false" ht="14.5" hidden="false" customHeight="false" outlineLevel="0" collapsed="false">
      <c r="A124" s="149"/>
      <c r="B124" s="149"/>
      <c r="C124" s="149"/>
      <c r="D124" s="149"/>
      <c r="E124" s="149"/>
      <c r="F124" s="150"/>
      <c r="G124" s="149"/>
      <c r="H124" s="151"/>
      <c r="I124" s="151"/>
      <c r="J124" s="150"/>
      <c r="K124" s="217"/>
      <c r="L124" s="176" t="n">
        <f aca="false">IF(AND(A125&lt;&gt;"",A124=""),L123+1,L123)</f>
        <v>13</v>
      </c>
      <c r="M124" s="101" t="str">
        <f aca="false">IF(OR(A124="Insumo",A124="Composição Auxiliar"),J124,"")</f>
        <v/>
      </c>
      <c r="N124" s="102" t="str">
        <f aca="false">IF(E124="Mão de Obra",J124,"")</f>
        <v/>
      </c>
      <c r="O124" s="102" t="str">
        <f aca="false">IF(N124&lt;&gt;"","",M124)</f>
        <v/>
      </c>
      <c r="P124" s="103" t="str">
        <f aca="false">IF(A124="Composição",B124,"")</f>
        <v/>
      </c>
      <c r="Q124" s="102" t="str">
        <f aca="false">IF(P124&lt;&gt;"",SUMIF(L124:L224,L124,N124:N224),"")</f>
        <v/>
      </c>
      <c r="R124" s="102" t="str">
        <f aca="false">IF(P124&lt;&gt;"",SUMIF(L124:L224,L124,O124:O224),"")</f>
        <v/>
      </c>
    </row>
    <row r="125" customFormat="false" ht="14.5" hidden="false" customHeight="false" outlineLevel="0" collapsed="false">
      <c r="A125" s="155"/>
      <c r="B125" s="155"/>
      <c r="C125" s="155"/>
      <c r="D125" s="155"/>
      <c r="E125" s="155"/>
      <c r="F125" s="155"/>
      <c r="G125" s="155"/>
      <c r="H125" s="155"/>
      <c r="I125" s="155"/>
      <c r="J125" s="155"/>
      <c r="K125" s="217"/>
      <c r="L125" s="176" t="n">
        <f aca="false">IF(AND(A126&lt;&gt;"",A125=""),L124+1,L124)</f>
        <v>13</v>
      </c>
      <c r="M125" s="101" t="str">
        <f aca="false">IF(OR(A125="Insumo",A125="Composição Auxiliar"),J125,"")</f>
        <v/>
      </c>
      <c r="N125" s="102" t="str">
        <f aca="false">IF(E125="Mão de Obra",J125,"")</f>
        <v/>
      </c>
      <c r="O125" s="102" t="str">
        <f aca="false">IF(N125&lt;&gt;"","",M125)</f>
        <v/>
      </c>
      <c r="P125" s="103" t="str">
        <f aca="false">IF(A125="Composição",B125,"")</f>
        <v/>
      </c>
      <c r="Q125" s="102" t="str">
        <f aca="false">IF(P125&lt;&gt;"",SUMIF(L125:L225,L125,N125:N225),"")</f>
        <v/>
      </c>
      <c r="R125" s="102" t="str">
        <f aca="false">IF(P125&lt;&gt;"",SUMIF(L125:L225,L125,O125:O225),"")</f>
        <v/>
      </c>
    </row>
    <row r="126" customFormat="false" ht="37.5" hidden="false" customHeight="true" outlineLevel="0" collapsed="false">
      <c r="A126" s="118"/>
      <c r="B126" s="119" t="s">
        <v>115</v>
      </c>
      <c r="C126" s="118" t="s">
        <v>116</v>
      </c>
      <c r="D126" s="118" t="s">
        <v>117</v>
      </c>
      <c r="E126" s="118" t="s">
        <v>118</v>
      </c>
      <c r="F126" s="118"/>
      <c r="G126" s="120" t="s">
        <v>119</v>
      </c>
      <c r="H126" s="119" t="s">
        <v>120</v>
      </c>
      <c r="I126" s="119" t="s">
        <v>130</v>
      </c>
      <c r="J126" s="119" t="s">
        <v>131</v>
      </c>
      <c r="K126" s="217"/>
      <c r="L126" s="176" t="n">
        <f aca="false">IF(AND(A127&lt;&gt;"",A126=""),L125+1,L125)</f>
        <v>14</v>
      </c>
      <c r="M126" s="101" t="str">
        <f aca="false">IF(OR(A126="Insumo",A126="Composição Auxiliar"),J126,"")</f>
        <v/>
      </c>
      <c r="N126" s="102" t="str">
        <f aca="false">IF(E126="Mão de Obra",J126,"")</f>
        <v/>
      </c>
      <c r="O126" s="102" t="str">
        <f aca="false">IF(N126&lt;&gt;"","",M126)</f>
        <v/>
      </c>
      <c r="P126" s="103" t="str">
        <f aca="false">IF(A126="Composição",B126,"")</f>
        <v/>
      </c>
      <c r="Q126" s="102" t="str">
        <f aca="false">IF(P126&lt;&gt;"",SUMIF(L126:L226,L126,N126:N226),"")</f>
        <v/>
      </c>
      <c r="R126" s="102" t="str">
        <f aca="false">IF(P126&lt;&gt;"",SUMIF(L126:L226,L126,O126:O226),"")</f>
        <v/>
      </c>
    </row>
    <row r="127" customFormat="false" ht="37.5" hidden="false" customHeight="true" outlineLevel="0" collapsed="false">
      <c r="A127" s="122" t="s">
        <v>121</v>
      </c>
      <c r="B127" s="55" t="s">
        <v>276</v>
      </c>
      <c r="C127" s="122" t="s">
        <v>122</v>
      </c>
      <c r="D127" s="122" t="s">
        <v>277</v>
      </c>
      <c r="E127" s="122" t="s">
        <v>124</v>
      </c>
      <c r="F127" s="122"/>
      <c r="G127" s="123" t="s">
        <v>125</v>
      </c>
      <c r="H127" s="124" t="n">
        <v>1</v>
      </c>
      <c r="I127" s="125" t="n">
        <f aca="false">SUMIF(L:L,$L127,M:M)</f>
        <v>0.19</v>
      </c>
      <c r="J127" s="125" t="n">
        <f aca="false">TRUNC(H127*I127,2)</f>
        <v>0.19</v>
      </c>
      <c r="K127" s="217"/>
      <c r="L127" s="176" t="n">
        <f aca="false">IF(AND(A128&lt;&gt;"",A127=""),L126+1,L126)</f>
        <v>14</v>
      </c>
      <c r="M127" s="101" t="str">
        <f aca="false">IF(OR(A127="Insumo",A127="Composição Auxiliar"),J127,"")</f>
        <v/>
      </c>
      <c r="N127" s="102" t="str">
        <f aca="false">IF(E127="Mão de Obra",J127,"")</f>
        <v/>
      </c>
      <c r="O127" s="102" t="str">
        <f aca="false">IF(N127&lt;&gt;"","",M127)</f>
        <v/>
      </c>
      <c r="P127" s="103" t="str">
        <f aca="false">IF(A127="Composição",B127,"")</f>
        <v> 95330 </v>
      </c>
      <c r="Q127" s="102" t="n">
        <f aca="false">IF(P127&lt;&gt;"",SUMIF(L127:L227,L127,N127:N227),"")</f>
        <v>0.19</v>
      </c>
      <c r="R127" s="102" t="n">
        <f aca="false">IF(P127&lt;&gt;"",SUMIF(L127:L227,L127,O127:O227),"")</f>
        <v>0</v>
      </c>
    </row>
    <row r="128" customFormat="false" ht="14" hidden="false" customHeight="false" outlineLevel="0" collapsed="false">
      <c r="A128" s="143" t="s">
        <v>128</v>
      </c>
      <c r="B128" s="144" t="s">
        <v>278</v>
      </c>
      <c r="C128" s="143" t="str">
        <f aca="false">VLOOKUP(B128,INSUMOS!$A:$I,2,0)</f>
        <v>SINAPI</v>
      </c>
      <c r="D128" s="143" t="str">
        <f aca="false">VLOOKUP(B128,INSUMOS!$A:$I,3,0)</f>
        <v>CARPINTEIRO DE FORMAS (HORISTA)</v>
      </c>
      <c r="E128" s="143" t="str">
        <f aca="false">VLOOKUP(B128,INSUMOS!$A:$I,4,0)</f>
        <v>Mão de Obra</v>
      </c>
      <c r="F128" s="143"/>
      <c r="G128" s="145" t="str">
        <f aca="false">VLOOKUP(B128,INSUMOS!$A:$I,5,0)</f>
        <v>H</v>
      </c>
      <c r="H128" s="146" t="n">
        <v>0.0094</v>
      </c>
      <c r="I128" s="147" t="n">
        <f aca="false">VLOOKUP(B128,INSUMOS!$A:$I,8,0)</f>
        <v>20.55</v>
      </c>
      <c r="J128" s="147" t="n">
        <f aca="false">TRUNC(H128*I128,2)</f>
        <v>0.19</v>
      </c>
      <c r="K128" s="217"/>
      <c r="L128" s="176" t="n">
        <f aca="false">IF(AND(A129&lt;&gt;"",A128=""),L127+1,L127)</f>
        <v>14</v>
      </c>
      <c r="M128" s="101" t="n">
        <f aca="false">IF(OR(A128="Insumo",A128="Composição Auxiliar"),J128,"")</f>
        <v>0.19</v>
      </c>
      <c r="N128" s="102" t="n">
        <f aca="false">IF(E128="Mão de Obra",J128,"")</f>
        <v>0.19</v>
      </c>
      <c r="O128" s="102" t="str">
        <f aca="false">IF(N128&lt;&gt;"","",M128)</f>
        <v/>
      </c>
      <c r="P128" s="103" t="str">
        <f aca="false">IF(A128="Composição",B128,"")</f>
        <v/>
      </c>
      <c r="Q128" s="102" t="str">
        <f aca="false">IF(P128&lt;&gt;"",SUMIF(L128:L228,L128,N128:N228),"")</f>
        <v/>
      </c>
      <c r="R128" s="102" t="str">
        <f aca="false">IF(P128&lt;&gt;"",SUMIF(L128:L228,L128,O128:O228),"")</f>
        <v/>
      </c>
    </row>
    <row r="129" customFormat="false" ht="14" hidden="false" customHeight="false" outlineLevel="0" collapsed="false">
      <c r="A129" s="149"/>
      <c r="B129" s="149"/>
      <c r="C129" s="149"/>
      <c r="D129" s="149"/>
      <c r="E129" s="149"/>
      <c r="F129" s="150"/>
      <c r="G129" s="149"/>
      <c r="H129" s="150"/>
      <c r="I129" s="149"/>
      <c r="J129" s="150"/>
      <c r="K129" s="217"/>
      <c r="L129" s="176" t="n">
        <f aca="false">IF(AND(A130&lt;&gt;"",A129=""),L128+1,L128)</f>
        <v>14</v>
      </c>
      <c r="M129" s="101" t="str">
        <f aca="false">IF(OR(A129="Insumo",A129="Composição Auxiliar"),J129,"")</f>
        <v/>
      </c>
      <c r="N129" s="102" t="str">
        <f aca="false">IF(E129="Mão de Obra",J129,"")</f>
        <v/>
      </c>
      <c r="O129" s="102" t="str">
        <f aca="false">IF(N129&lt;&gt;"","",M129)</f>
        <v/>
      </c>
      <c r="P129" s="103" t="str">
        <f aca="false">IF(A129="Composição",B129,"")</f>
        <v/>
      </c>
      <c r="Q129" s="102" t="str">
        <f aca="false">IF(P129&lt;&gt;"",SUMIF(L129:L229,L129,N129:N229),"")</f>
        <v/>
      </c>
      <c r="R129" s="102" t="str">
        <f aca="false">IF(P129&lt;&gt;"",SUMIF(L129:L229,L129,O129:O229),"")</f>
        <v/>
      </c>
    </row>
    <row r="130" customFormat="false" ht="14.5" hidden="false" customHeight="false" outlineLevel="0" collapsed="false">
      <c r="A130" s="149"/>
      <c r="B130" s="149"/>
      <c r="C130" s="149"/>
      <c r="D130" s="149"/>
      <c r="E130" s="149"/>
      <c r="F130" s="150"/>
      <c r="G130" s="149"/>
      <c r="H130" s="151"/>
      <c r="I130" s="151"/>
      <c r="J130" s="150"/>
      <c r="K130" s="217"/>
      <c r="L130" s="176" t="n">
        <f aca="false">IF(AND(A131&lt;&gt;"",A130=""),L129+1,L129)</f>
        <v>14</v>
      </c>
      <c r="M130" s="101" t="str">
        <f aca="false">IF(OR(A130="Insumo",A130="Composição Auxiliar"),J130,"")</f>
        <v/>
      </c>
      <c r="N130" s="102" t="str">
        <f aca="false">IF(E130="Mão de Obra",J130,"")</f>
        <v/>
      </c>
      <c r="O130" s="102" t="str">
        <f aca="false">IF(N130&lt;&gt;"","",M130)</f>
        <v/>
      </c>
      <c r="P130" s="103" t="str">
        <f aca="false">IF(A130="Composição",B130,"")</f>
        <v/>
      </c>
      <c r="Q130" s="102" t="str">
        <f aca="false">IF(P130&lt;&gt;"",SUMIF(L130:L230,L130,N130:N230),"")</f>
        <v/>
      </c>
      <c r="R130" s="102" t="str">
        <f aca="false">IF(P130&lt;&gt;"",SUMIF(L130:L230,L130,O130:O230),"")</f>
        <v/>
      </c>
    </row>
    <row r="131" customFormat="false" ht="14.5" hidden="false" customHeight="false" outlineLevel="0" collapsed="false">
      <c r="A131" s="155"/>
      <c r="B131" s="155"/>
      <c r="C131" s="155"/>
      <c r="D131" s="155"/>
      <c r="E131" s="155"/>
      <c r="F131" s="155"/>
      <c r="G131" s="155"/>
      <c r="H131" s="155"/>
      <c r="I131" s="155"/>
      <c r="J131" s="155"/>
      <c r="K131" s="217"/>
      <c r="L131" s="176" t="n">
        <f aca="false">IF(AND(A132&lt;&gt;"",A131=""),L130+1,L130)</f>
        <v>14</v>
      </c>
      <c r="M131" s="101" t="str">
        <f aca="false">IF(OR(A131="Insumo",A131="Composição Auxiliar"),J131,"")</f>
        <v/>
      </c>
      <c r="N131" s="102" t="str">
        <f aca="false">IF(E131="Mão de Obra",J131,"")</f>
        <v/>
      </c>
      <c r="O131" s="102" t="str">
        <f aca="false">IF(N131&lt;&gt;"","",M131)</f>
        <v/>
      </c>
      <c r="P131" s="103" t="str">
        <f aca="false">IF(A131="Composição",B131,"")</f>
        <v/>
      </c>
      <c r="Q131" s="102" t="str">
        <f aca="false">IF(P131&lt;&gt;"",SUMIF(L131:L231,L131,N131:N231),"")</f>
        <v/>
      </c>
      <c r="R131" s="102" t="str">
        <f aca="false">IF(P131&lt;&gt;"",SUMIF(L131:L231,L131,O131:O231),"")</f>
        <v/>
      </c>
    </row>
    <row r="132" customFormat="false" ht="14" hidden="false" customHeight="true" outlineLevel="0" collapsed="false">
      <c r="A132" s="118"/>
      <c r="B132" s="119" t="s">
        <v>115</v>
      </c>
      <c r="C132" s="118" t="s">
        <v>116</v>
      </c>
      <c r="D132" s="118" t="s">
        <v>117</v>
      </c>
      <c r="E132" s="118" t="s">
        <v>118</v>
      </c>
      <c r="F132" s="118"/>
      <c r="G132" s="120" t="s">
        <v>119</v>
      </c>
      <c r="H132" s="119" t="s">
        <v>120</v>
      </c>
      <c r="I132" s="119" t="s">
        <v>130</v>
      </c>
      <c r="J132" s="119" t="s">
        <v>131</v>
      </c>
      <c r="K132" s="217"/>
      <c r="L132" s="176" t="n">
        <f aca="false">IF(AND(A133&lt;&gt;"",A132=""),L131+1,L131)</f>
        <v>15</v>
      </c>
      <c r="M132" s="101" t="str">
        <f aca="false">IF(OR(A132="Insumo",A132="Composição Auxiliar"),J132,"")</f>
        <v/>
      </c>
      <c r="N132" s="102" t="str">
        <f aca="false">IF(E132="Mão de Obra",J132,"")</f>
        <v/>
      </c>
      <c r="O132" s="102" t="str">
        <f aca="false">IF(N132&lt;&gt;"","",M132)</f>
        <v/>
      </c>
      <c r="P132" s="103" t="str">
        <f aca="false">IF(A132="Composição",B132,"")</f>
        <v/>
      </c>
      <c r="Q132" s="102" t="str">
        <f aca="false">IF(P132&lt;&gt;"",SUMIF(L132:L232,L132,N132:N232),"")</f>
        <v/>
      </c>
      <c r="R132" s="102" t="str">
        <f aca="false">IF(P132&lt;&gt;"",SUMIF(L132:L232,L132,O132:O232),"")</f>
        <v/>
      </c>
    </row>
    <row r="133" customFormat="false" ht="25" hidden="false" customHeight="true" outlineLevel="0" collapsed="false">
      <c r="A133" s="122" t="s">
        <v>121</v>
      </c>
      <c r="B133" s="55" t="s">
        <v>286</v>
      </c>
      <c r="C133" s="122" t="s">
        <v>122</v>
      </c>
      <c r="D133" s="122" t="s">
        <v>287</v>
      </c>
      <c r="E133" s="122" t="s">
        <v>124</v>
      </c>
      <c r="F133" s="122"/>
      <c r="G133" s="123" t="s">
        <v>125</v>
      </c>
      <c r="H133" s="124" t="n">
        <v>1</v>
      </c>
      <c r="I133" s="125" t="n">
        <f aca="false">SUMIF(L:L,$L133,M:M)</f>
        <v>0.06</v>
      </c>
      <c r="J133" s="125" t="n">
        <f aca="false">TRUNC(H133*I133,2)</f>
        <v>0.06</v>
      </c>
      <c r="K133" s="217"/>
      <c r="L133" s="176" t="n">
        <f aca="false">IF(AND(A134&lt;&gt;"",A133=""),L132+1,L132)</f>
        <v>15</v>
      </c>
      <c r="M133" s="101" t="str">
        <f aca="false">IF(OR(A133="Insumo",A133="Composição Auxiliar"),J133,"")</f>
        <v/>
      </c>
      <c r="N133" s="102" t="str">
        <f aca="false">IF(E133="Mão de Obra",J133,"")</f>
        <v/>
      </c>
      <c r="O133" s="102" t="str">
        <f aca="false">IF(N133&lt;&gt;"","",M133)</f>
        <v/>
      </c>
      <c r="P133" s="103" t="str">
        <f aca="false">IF(A133="Composição",B133,"")</f>
        <v> 95400 </v>
      </c>
      <c r="Q133" s="102" t="n">
        <f aca="false">IF(P133&lt;&gt;"",SUMIF(L133:L233,L133,N133:N233),"")</f>
        <v>0.06</v>
      </c>
      <c r="R133" s="102" t="n">
        <f aca="false">IF(P133&lt;&gt;"",SUMIF(L133:L233,L133,O133:O233),"")</f>
        <v>0</v>
      </c>
    </row>
    <row r="134" customFormat="false" ht="14" hidden="false" customHeight="false" outlineLevel="0" collapsed="false">
      <c r="A134" s="143" t="s">
        <v>128</v>
      </c>
      <c r="B134" s="144" t="s">
        <v>288</v>
      </c>
      <c r="C134" s="143" t="str">
        <f aca="false">VLOOKUP(B134,INSUMOS!$A:$I,2,0)</f>
        <v>SINAPI</v>
      </c>
      <c r="D134" s="143" t="str">
        <f aca="false">VLOOKUP(B134,INSUMOS!$A:$I,3,0)</f>
        <v>DESENHISTA PROJETISTA</v>
      </c>
      <c r="E134" s="143" t="str">
        <f aca="false">VLOOKUP(B134,INSUMOS!$A:$I,4,0)</f>
        <v>Mão de Obra</v>
      </c>
      <c r="F134" s="143"/>
      <c r="G134" s="145" t="str">
        <f aca="false">VLOOKUP(B134,INSUMOS!$A:$I,5,0)</f>
        <v>H</v>
      </c>
      <c r="H134" s="146" t="n">
        <v>0.0041</v>
      </c>
      <c r="I134" s="147" t="n">
        <f aca="false">VLOOKUP(B134,INSUMOS!$A:$I,8,0)</f>
        <v>15.42</v>
      </c>
      <c r="J134" s="147" t="n">
        <f aca="false">TRUNC(H134*I134,2)</f>
        <v>0.06</v>
      </c>
      <c r="K134" s="217"/>
      <c r="L134" s="176" t="n">
        <f aca="false">IF(AND(A135&lt;&gt;"",A134=""),L133+1,L133)</f>
        <v>15</v>
      </c>
      <c r="M134" s="101" t="n">
        <f aca="false">IF(OR(A134="Insumo",A134="Composição Auxiliar"),J134,"")</f>
        <v>0.06</v>
      </c>
      <c r="N134" s="102" t="n">
        <f aca="false">IF(E134="Mão de Obra",J134,"")</f>
        <v>0.06</v>
      </c>
      <c r="O134" s="102" t="str">
        <f aca="false">IF(N134&lt;&gt;"","",M134)</f>
        <v/>
      </c>
      <c r="P134" s="103" t="str">
        <f aca="false">IF(A134="Composição",B134,"")</f>
        <v/>
      </c>
      <c r="Q134" s="102" t="str">
        <f aca="false">IF(P134&lt;&gt;"",SUMIF(L134:L234,L134,N134:N234),"")</f>
        <v/>
      </c>
      <c r="R134" s="102" t="str">
        <f aca="false">IF(P134&lt;&gt;"",SUMIF(L134:L234,L134,O134:O234),"")</f>
        <v/>
      </c>
    </row>
    <row r="135" customFormat="false" ht="14" hidden="false" customHeight="false" outlineLevel="0" collapsed="false">
      <c r="A135" s="149"/>
      <c r="B135" s="149"/>
      <c r="C135" s="149"/>
      <c r="D135" s="149"/>
      <c r="E135" s="149"/>
      <c r="F135" s="150"/>
      <c r="G135" s="149"/>
      <c r="H135" s="150"/>
      <c r="I135" s="149"/>
      <c r="J135" s="150"/>
      <c r="K135" s="217"/>
      <c r="L135" s="176" t="n">
        <f aca="false">IF(AND(A136&lt;&gt;"",A135=""),L134+1,L134)</f>
        <v>15</v>
      </c>
      <c r="M135" s="101" t="str">
        <f aca="false">IF(OR(A135="Insumo",A135="Composição Auxiliar"),J135,"")</f>
        <v/>
      </c>
      <c r="N135" s="102" t="str">
        <f aca="false">IF(E135="Mão de Obra",J135,"")</f>
        <v/>
      </c>
      <c r="O135" s="102" t="str">
        <f aca="false">IF(N135&lt;&gt;"","",M135)</f>
        <v/>
      </c>
      <c r="P135" s="103" t="str">
        <f aca="false">IF(A135="Composição",B135,"")</f>
        <v/>
      </c>
      <c r="Q135" s="102" t="str">
        <f aca="false">IF(P135&lt;&gt;"",SUMIF(L135:L235,L135,N135:N235),"")</f>
        <v/>
      </c>
      <c r="R135" s="102" t="str">
        <f aca="false">IF(P135&lt;&gt;"",SUMIF(L135:L235,L135,O135:O235),"")</f>
        <v/>
      </c>
    </row>
    <row r="136" customFormat="false" ht="14.5" hidden="false" customHeight="false" outlineLevel="0" collapsed="false">
      <c r="A136" s="149"/>
      <c r="B136" s="149"/>
      <c r="C136" s="149"/>
      <c r="D136" s="149"/>
      <c r="E136" s="149"/>
      <c r="F136" s="150"/>
      <c r="G136" s="149"/>
      <c r="H136" s="151"/>
      <c r="I136" s="151"/>
      <c r="J136" s="150"/>
      <c r="K136" s="217"/>
      <c r="L136" s="176" t="n">
        <f aca="false">IF(AND(A137&lt;&gt;"",A136=""),L135+1,L135)</f>
        <v>15</v>
      </c>
      <c r="M136" s="101" t="str">
        <f aca="false">IF(OR(A136="Insumo",A136="Composição Auxiliar"),J136,"")</f>
        <v/>
      </c>
      <c r="N136" s="102" t="str">
        <f aca="false">IF(E136="Mão de Obra",J136,"")</f>
        <v/>
      </c>
      <c r="O136" s="102" t="str">
        <f aca="false">IF(N136&lt;&gt;"","",M136)</f>
        <v/>
      </c>
      <c r="P136" s="103" t="str">
        <f aca="false">IF(A136="Composição",B136,"")</f>
        <v/>
      </c>
      <c r="Q136" s="102" t="str">
        <f aca="false">IF(P136&lt;&gt;"",SUMIF(L136:L236,L136,N136:N236),"")</f>
        <v/>
      </c>
      <c r="R136" s="102" t="str">
        <f aca="false">IF(P136&lt;&gt;"",SUMIF(L136:L236,L136,O136:O236),"")</f>
        <v/>
      </c>
    </row>
    <row r="137" customFormat="false" ht="37.5" hidden="false" customHeight="true" outlineLevel="0" collapsed="false">
      <c r="A137" s="155"/>
      <c r="B137" s="155"/>
      <c r="C137" s="155"/>
      <c r="D137" s="155"/>
      <c r="E137" s="155"/>
      <c r="F137" s="155"/>
      <c r="G137" s="155"/>
      <c r="H137" s="155"/>
      <c r="I137" s="155"/>
      <c r="J137" s="155"/>
      <c r="K137" s="217"/>
      <c r="L137" s="176" t="n">
        <f aca="false">IF(AND(A138&lt;&gt;"",A137=""),L136+1,L136)</f>
        <v>15</v>
      </c>
      <c r="M137" s="101" t="str">
        <f aca="false">IF(OR(A137="Insumo",A137="Composição Auxiliar"),J137,"")</f>
        <v/>
      </c>
      <c r="N137" s="102" t="str">
        <f aca="false">IF(E137="Mão de Obra",J137,"")</f>
        <v/>
      </c>
      <c r="O137" s="102" t="str">
        <f aca="false">IF(N137&lt;&gt;"","",M137)</f>
        <v/>
      </c>
      <c r="P137" s="103" t="str">
        <f aca="false">IF(A137="Composição",B137,"")</f>
        <v/>
      </c>
      <c r="Q137" s="102" t="str">
        <f aca="false">IF(P137&lt;&gt;"",SUMIF(L137:L237,L137,N137:N237),"")</f>
        <v/>
      </c>
      <c r="R137" s="102" t="str">
        <f aca="false">IF(P137&lt;&gt;"",SUMIF(L137:L237,L137,O137:O237),"")</f>
        <v/>
      </c>
    </row>
    <row r="138" customFormat="false" ht="37.5" hidden="false" customHeight="true" outlineLevel="0" collapsed="false">
      <c r="A138" s="118"/>
      <c r="B138" s="119" t="s">
        <v>115</v>
      </c>
      <c r="C138" s="118" t="s">
        <v>116</v>
      </c>
      <c r="D138" s="118" t="s">
        <v>117</v>
      </c>
      <c r="E138" s="118" t="s">
        <v>118</v>
      </c>
      <c r="F138" s="118"/>
      <c r="G138" s="120" t="s">
        <v>119</v>
      </c>
      <c r="H138" s="119" t="s">
        <v>120</v>
      </c>
      <c r="I138" s="119" t="s">
        <v>130</v>
      </c>
      <c r="J138" s="119" t="s">
        <v>131</v>
      </c>
      <c r="K138" s="217"/>
      <c r="L138" s="176" t="n">
        <f aca="false">IF(AND(A139&lt;&gt;"",A138=""),L137+1,L137)</f>
        <v>16</v>
      </c>
      <c r="M138" s="101" t="str">
        <f aca="false">IF(OR(A138="Insumo",A138="Composição Auxiliar"),J138,"")</f>
        <v/>
      </c>
      <c r="N138" s="102" t="str">
        <f aca="false">IF(E138="Mão de Obra",J138,"")</f>
        <v/>
      </c>
      <c r="O138" s="102" t="str">
        <f aca="false">IF(N138&lt;&gt;"","",M138)</f>
        <v/>
      </c>
      <c r="P138" s="103" t="str">
        <f aca="false">IF(A138="Composição",B138,"")</f>
        <v/>
      </c>
      <c r="Q138" s="102" t="str">
        <f aca="false">IF(P138&lt;&gt;"",SUMIF(L138:L238,L138,N138:N238),"")</f>
        <v/>
      </c>
      <c r="R138" s="102" t="str">
        <f aca="false">IF(P138&lt;&gt;"",SUMIF(L138:L238,L138,O138:O238),"")</f>
        <v/>
      </c>
    </row>
    <row r="139" customFormat="false" ht="25" hidden="false" customHeight="true" outlineLevel="0" collapsed="false">
      <c r="A139" s="122" t="s">
        <v>121</v>
      </c>
      <c r="B139" s="55" t="s">
        <v>289</v>
      </c>
      <c r="C139" s="122" t="s">
        <v>122</v>
      </c>
      <c r="D139" s="122" t="s">
        <v>290</v>
      </c>
      <c r="E139" s="122" t="s">
        <v>124</v>
      </c>
      <c r="F139" s="122"/>
      <c r="G139" s="123" t="s">
        <v>125</v>
      </c>
      <c r="H139" s="124" t="n">
        <v>1</v>
      </c>
      <c r="I139" s="125" t="n">
        <f aca="false">SUMIF(L:L,$L139,M:M)</f>
        <v>0.62</v>
      </c>
      <c r="J139" s="125" t="n">
        <f aca="false">TRUNC(H139*I139,2)</f>
        <v>0.62</v>
      </c>
      <c r="K139" s="217"/>
      <c r="L139" s="176" t="n">
        <f aca="false">IF(AND(A140&lt;&gt;"",A139=""),L138+1,L138)</f>
        <v>16</v>
      </c>
      <c r="M139" s="101" t="str">
        <f aca="false">IF(OR(A139="Insumo",A139="Composição Auxiliar"),J139,"")</f>
        <v/>
      </c>
      <c r="N139" s="102" t="str">
        <f aca="false">IF(E139="Mão de Obra",J139,"")</f>
        <v/>
      </c>
      <c r="O139" s="102" t="str">
        <f aca="false">IF(N139&lt;&gt;"","",M139)</f>
        <v/>
      </c>
      <c r="P139" s="103" t="str">
        <f aca="false">IF(A139="Composição",B139,"")</f>
        <v> 95332 </v>
      </c>
      <c r="Q139" s="102" t="n">
        <f aca="false">IF(P139&lt;&gt;"",SUMIF(L139:L239,L139,N139:N239),"")</f>
        <v>0.62</v>
      </c>
      <c r="R139" s="102" t="n">
        <f aca="false">IF(P139&lt;&gt;"",SUMIF(L139:L239,L139,O139:O239),"")</f>
        <v>0</v>
      </c>
    </row>
    <row r="140" customFormat="false" ht="25" hidden="false" customHeight="true" outlineLevel="0" collapsed="false">
      <c r="A140" s="143" t="s">
        <v>128</v>
      </c>
      <c r="B140" s="144" t="s">
        <v>291</v>
      </c>
      <c r="C140" s="143" t="str">
        <f aca="false">VLOOKUP(B140,INSUMOS!$A:$I,2,0)</f>
        <v>SINAPI</v>
      </c>
      <c r="D140" s="143" t="str">
        <f aca="false">VLOOKUP(B140,INSUMOS!$A:$I,3,0)</f>
        <v>ELETRICISTA</v>
      </c>
      <c r="E140" s="143" t="str">
        <f aca="false">VLOOKUP(B140,INSUMOS!$A:$I,4,0)</f>
        <v>Mão de Obra</v>
      </c>
      <c r="F140" s="143"/>
      <c r="G140" s="145" t="str">
        <f aca="false">VLOOKUP(B140,INSUMOS!$A:$I,5,0)</f>
        <v>H</v>
      </c>
      <c r="H140" s="146" t="n">
        <v>0.0302</v>
      </c>
      <c r="I140" s="147" t="n">
        <f aca="false">VLOOKUP(B140,INSUMOS!$A:$I,8,0)</f>
        <v>20.55</v>
      </c>
      <c r="J140" s="147" t="n">
        <f aca="false">TRUNC(H140*I140,2)</f>
        <v>0.62</v>
      </c>
      <c r="K140" s="217"/>
      <c r="L140" s="176" t="n">
        <f aca="false">IF(AND(A141&lt;&gt;"",A140=""),L139+1,L139)</f>
        <v>16</v>
      </c>
      <c r="M140" s="101" t="n">
        <f aca="false">IF(OR(A140="Insumo",A140="Composição Auxiliar"),J140,"")</f>
        <v>0.62</v>
      </c>
      <c r="N140" s="102" t="n">
        <f aca="false">IF(E140="Mão de Obra",J140,"")</f>
        <v>0.62</v>
      </c>
      <c r="O140" s="102" t="str">
        <f aca="false">IF(N140&lt;&gt;"","",M140)</f>
        <v/>
      </c>
      <c r="P140" s="103" t="str">
        <f aca="false">IF(A140="Composição",B140,"")</f>
        <v/>
      </c>
      <c r="Q140" s="102" t="str">
        <f aca="false">IF(P140&lt;&gt;"",SUMIF(L140:L240,L140,N140:N240),"")</f>
        <v/>
      </c>
      <c r="R140" s="102" t="str">
        <f aca="false">IF(P140&lt;&gt;"",SUMIF(L140:L240,L140,O140:O240),"")</f>
        <v/>
      </c>
    </row>
    <row r="141" customFormat="false" ht="14" hidden="false" customHeight="false" outlineLevel="0" collapsed="false">
      <c r="A141" s="149"/>
      <c r="B141" s="149"/>
      <c r="C141" s="149"/>
      <c r="D141" s="149"/>
      <c r="E141" s="149"/>
      <c r="F141" s="150"/>
      <c r="G141" s="149"/>
      <c r="H141" s="150"/>
      <c r="I141" s="149"/>
      <c r="J141" s="150"/>
      <c r="K141" s="217"/>
      <c r="L141" s="176" t="n">
        <f aca="false">IF(AND(A142&lt;&gt;"",A141=""),L140+1,L140)</f>
        <v>16</v>
      </c>
      <c r="M141" s="101" t="str">
        <f aca="false">IF(OR(A141="Insumo",A141="Composição Auxiliar"),J141,"")</f>
        <v/>
      </c>
      <c r="N141" s="102" t="str">
        <f aca="false">IF(E141="Mão de Obra",J141,"")</f>
        <v/>
      </c>
      <c r="O141" s="102" t="str">
        <f aca="false">IF(N141&lt;&gt;"","",M141)</f>
        <v/>
      </c>
      <c r="P141" s="103" t="str">
        <f aca="false">IF(A141="Composição",B141,"")</f>
        <v/>
      </c>
      <c r="Q141" s="102" t="str">
        <f aca="false">IF(P141&lt;&gt;"",SUMIF(L141:L241,L141,N141:N241),"")</f>
        <v/>
      </c>
      <c r="R141" s="102" t="str">
        <f aca="false">IF(P141&lt;&gt;"",SUMIF(L141:L241,L141,O141:O241),"")</f>
        <v/>
      </c>
    </row>
    <row r="142" customFormat="false" ht="14.5" hidden="false" customHeight="false" outlineLevel="0" collapsed="false">
      <c r="A142" s="149"/>
      <c r="B142" s="149"/>
      <c r="C142" s="149"/>
      <c r="D142" s="149"/>
      <c r="E142" s="149"/>
      <c r="F142" s="150"/>
      <c r="G142" s="149"/>
      <c r="H142" s="151"/>
      <c r="I142" s="151"/>
      <c r="J142" s="150"/>
      <c r="K142" s="217"/>
      <c r="L142" s="176" t="n">
        <f aca="false">IF(AND(A143&lt;&gt;"",A142=""),L141+1,L141)</f>
        <v>16</v>
      </c>
      <c r="M142" s="101" t="str">
        <f aca="false">IF(OR(A142="Insumo",A142="Composição Auxiliar"),J142,"")</f>
        <v/>
      </c>
      <c r="N142" s="102" t="str">
        <f aca="false">IF(E142="Mão de Obra",J142,"")</f>
        <v/>
      </c>
      <c r="O142" s="102" t="str">
        <f aca="false">IF(N142&lt;&gt;"","",M142)</f>
        <v/>
      </c>
      <c r="P142" s="103" t="str">
        <f aca="false">IF(A142="Composição",B142,"")</f>
        <v/>
      </c>
      <c r="Q142" s="102" t="str">
        <f aca="false">IF(P142&lt;&gt;"",SUMIF(L142:L242,L142,N142:N242),"")</f>
        <v/>
      </c>
      <c r="R142" s="102" t="str">
        <f aca="false">IF(P142&lt;&gt;"",SUMIF(L142:L242,L142,O142:O242),"")</f>
        <v/>
      </c>
    </row>
    <row r="143" customFormat="false" ht="14.5" hidden="false" customHeight="false" outlineLevel="0" collapsed="false">
      <c r="A143" s="155"/>
      <c r="B143" s="155"/>
      <c r="C143" s="155"/>
      <c r="D143" s="155"/>
      <c r="E143" s="155"/>
      <c r="F143" s="155"/>
      <c r="G143" s="155"/>
      <c r="H143" s="155"/>
      <c r="I143" s="155"/>
      <c r="J143" s="155"/>
      <c r="K143" s="217"/>
      <c r="L143" s="176" t="n">
        <f aca="false">IF(AND(A144&lt;&gt;"",A143=""),L142+1,L142)</f>
        <v>16</v>
      </c>
      <c r="M143" s="101" t="str">
        <f aca="false">IF(OR(A143="Insumo",A143="Composição Auxiliar"),J143,"")</f>
        <v/>
      </c>
      <c r="N143" s="102" t="str">
        <f aca="false">IF(E143="Mão de Obra",J143,"")</f>
        <v/>
      </c>
      <c r="O143" s="102" t="str">
        <f aca="false">IF(N143&lt;&gt;"","",M143)</f>
        <v/>
      </c>
      <c r="P143" s="103" t="str">
        <f aca="false">IF(A143="Composição",B143,"")</f>
        <v/>
      </c>
      <c r="Q143" s="102" t="str">
        <f aca="false">IF(P143&lt;&gt;"",SUMIF(L143:L243,L143,N143:N243),"")</f>
        <v/>
      </c>
      <c r="R143" s="102" t="str">
        <f aca="false">IF(P143&lt;&gt;"",SUMIF(L143:L243,L143,O143:O243),"")</f>
        <v/>
      </c>
    </row>
    <row r="144" customFormat="false" ht="14" hidden="false" customHeight="true" outlineLevel="0" collapsed="false">
      <c r="A144" s="118"/>
      <c r="B144" s="119" t="s">
        <v>115</v>
      </c>
      <c r="C144" s="118" t="s">
        <v>116</v>
      </c>
      <c r="D144" s="118" t="s">
        <v>117</v>
      </c>
      <c r="E144" s="118" t="s">
        <v>118</v>
      </c>
      <c r="F144" s="118"/>
      <c r="G144" s="120" t="s">
        <v>119</v>
      </c>
      <c r="H144" s="119" t="s">
        <v>120</v>
      </c>
      <c r="I144" s="119" t="s">
        <v>130</v>
      </c>
      <c r="J144" s="119" t="s">
        <v>131</v>
      </c>
      <c r="K144" s="217"/>
      <c r="L144" s="176" t="n">
        <f aca="false">IF(AND(A145&lt;&gt;"",A144=""),L143+1,L143)</f>
        <v>17</v>
      </c>
      <c r="M144" s="101" t="str">
        <f aca="false">IF(OR(A144="Insumo",A144="Composição Auxiliar"),J144,"")</f>
        <v/>
      </c>
      <c r="N144" s="102" t="str">
        <f aca="false">IF(E144="Mão de Obra",J144,"")</f>
        <v/>
      </c>
      <c r="O144" s="102" t="str">
        <f aca="false">IF(N144&lt;&gt;"","",M144)</f>
        <v/>
      </c>
      <c r="P144" s="103" t="str">
        <f aca="false">IF(A144="Composição",B144,"")</f>
        <v/>
      </c>
      <c r="Q144" s="102" t="str">
        <f aca="false">IF(P144&lt;&gt;"",SUMIF(L144:L244,L144,N144:N244),"")</f>
        <v/>
      </c>
      <c r="R144" s="102" t="str">
        <f aca="false">IF(P144&lt;&gt;"",SUMIF(L144:L244,L144,O144:O244),"")</f>
        <v/>
      </c>
    </row>
    <row r="145" customFormat="false" ht="25" hidden="false" customHeight="true" outlineLevel="0" collapsed="false">
      <c r="A145" s="122" t="s">
        <v>121</v>
      </c>
      <c r="B145" s="55" t="s">
        <v>292</v>
      </c>
      <c r="C145" s="122" t="s">
        <v>122</v>
      </c>
      <c r="D145" s="122" t="s">
        <v>293</v>
      </c>
      <c r="E145" s="122" t="s">
        <v>124</v>
      </c>
      <c r="F145" s="122"/>
      <c r="G145" s="123" t="s">
        <v>125</v>
      </c>
      <c r="H145" s="124" t="n">
        <v>1</v>
      </c>
      <c r="I145" s="125" t="n">
        <f aca="false">SUMIF(L:L,$L145,M:M)</f>
        <v>0.61</v>
      </c>
      <c r="J145" s="125" t="n">
        <f aca="false">TRUNC(H145*I145,2)</f>
        <v>0.61</v>
      </c>
      <c r="K145" s="217"/>
      <c r="L145" s="176" t="n">
        <f aca="false">IF(AND(A146&lt;&gt;"",A145=""),L144+1,L144)</f>
        <v>17</v>
      </c>
      <c r="M145" s="101" t="str">
        <f aca="false">IF(OR(A145="Insumo",A145="Composição Auxiliar"),J145,"")</f>
        <v/>
      </c>
      <c r="N145" s="102" t="str">
        <f aca="false">IF(E145="Mão de Obra",J145,"")</f>
        <v/>
      </c>
      <c r="O145" s="102" t="str">
        <f aca="false">IF(N145&lt;&gt;"","",M145)</f>
        <v/>
      </c>
      <c r="P145" s="103" t="str">
        <f aca="false">IF(A145="Composição",B145,"")</f>
        <v> 95334 </v>
      </c>
      <c r="Q145" s="102" t="n">
        <f aca="false">IF(P145&lt;&gt;"",SUMIF(L145:L245,L145,N145:N245),"")</f>
        <v>0.61</v>
      </c>
      <c r="R145" s="102" t="n">
        <f aca="false">IF(P145&lt;&gt;"",SUMIF(L145:L245,L145,O145:O245),"")</f>
        <v>0</v>
      </c>
    </row>
    <row r="146" customFormat="false" ht="14" hidden="false" customHeight="false" outlineLevel="0" collapsed="false">
      <c r="A146" s="143" t="s">
        <v>128</v>
      </c>
      <c r="B146" s="144" t="s">
        <v>294</v>
      </c>
      <c r="C146" s="143" t="str">
        <f aca="false">VLOOKUP(B146,INSUMOS!$A:$I,2,0)</f>
        <v>SINAPI</v>
      </c>
      <c r="D146" s="143" t="str">
        <f aca="false">VLOOKUP(B146,INSUMOS!$A:$I,3,0)</f>
        <v>ELETROTECNICO</v>
      </c>
      <c r="E146" s="143" t="str">
        <f aca="false">VLOOKUP(B146,INSUMOS!$A:$I,4,0)</f>
        <v>Mão de Obra</v>
      </c>
      <c r="F146" s="143"/>
      <c r="G146" s="145" t="str">
        <f aca="false">VLOOKUP(B146,INSUMOS!$A:$I,5,0)</f>
        <v>H</v>
      </c>
      <c r="H146" s="146" t="n">
        <v>0.025</v>
      </c>
      <c r="I146" s="147" t="n">
        <f aca="false">VLOOKUP(B146,INSUMOS!$A:$I,8,0)</f>
        <v>24.6</v>
      </c>
      <c r="J146" s="147" t="n">
        <f aca="false">TRUNC(H146*I146,2)</f>
        <v>0.61</v>
      </c>
      <c r="K146" s="217"/>
      <c r="L146" s="176" t="n">
        <f aca="false">IF(AND(A147&lt;&gt;"",A146=""),L145+1,L145)</f>
        <v>17</v>
      </c>
      <c r="M146" s="101" t="n">
        <f aca="false">IF(OR(A146="Insumo",A146="Composição Auxiliar"),J146,"")</f>
        <v>0.61</v>
      </c>
      <c r="N146" s="102" t="n">
        <f aca="false">IF(E146="Mão de Obra",J146,"")</f>
        <v>0.61</v>
      </c>
      <c r="O146" s="102" t="str">
        <f aca="false">IF(N146&lt;&gt;"","",M146)</f>
        <v/>
      </c>
      <c r="P146" s="103" t="str">
        <f aca="false">IF(A146="Composição",B146,"")</f>
        <v/>
      </c>
      <c r="Q146" s="102" t="str">
        <f aca="false">IF(P146&lt;&gt;"",SUMIF(L146:L246,L146,N146:N246),"")</f>
        <v/>
      </c>
      <c r="R146" s="102" t="str">
        <f aca="false">IF(P146&lt;&gt;"",SUMIF(L146:L246,L146,O146:O246),"")</f>
        <v/>
      </c>
    </row>
    <row r="147" customFormat="false" ht="37.5" hidden="false" customHeight="true" outlineLevel="0" collapsed="false">
      <c r="A147" s="149"/>
      <c r="B147" s="149"/>
      <c r="C147" s="149"/>
      <c r="D147" s="149"/>
      <c r="E147" s="149"/>
      <c r="F147" s="150"/>
      <c r="G147" s="149"/>
      <c r="H147" s="150"/>
      <c r="I147" s="149"/>
      <c r="J147" s="150"/>
      <c r="K147" s="217"/>
      <c r="L147" s="176" t="n">
        <f aca="false">IF(AND(A148&lt;&gt;"",A147=""),L146+1,L146)</f>
        <v>17</v>
      </c>
      <c r="M147" s="101" t="str">
        <f aca="false">IF(OR(A147="Insumo",A147="Composição Auxiliar"),J147,"")</f>
        <v/>
      </c>
      <c r="N147" s="102" t="str">
        <f aca="false">IF(E147="Mão de Obra",J147,"")</f>
        <v/>
      </c>
      <c r="O147" s="102" t="str">
        <f aca="false">IF(N147&lt;&gt;"","",M147)</f>
        <v/>
      </c>
      <c r="P147" s="103" t="str">
        <f aca="false">IF(A147="Composição",B147,"")</f>
        <v/>
      </c>
      <c r="Q147" s="102" t="str">
        <f aca="false">IF(P147&lt;&gt;"",SUMIF(L147:L247,L147,N147:N247),"")</f>
        <v/>
      </c>
      <c r="R147" s="102" t="str">
        <f aca="false">IF(P147&lt;&gt;"",SUMIF(L147:L247,L147,O147:O247),"")</f>
        <v/>
      </c>
    </row>
    <row r="148" customFormat="false" ht="37.5" hidden="false" customHeight="true" outlineLevel="0" collapsed="false">
      <c r="A148" s="149"/>
      <c r="B148" s="149"/>
      <c r="C148" s="149"/>
      <c r="D148" s="149"/>
      <c r="E148" s="149"/>
      <c r="F148" s="150"/>
      <c r="G148" s="149"/>
      <c r="H148" s="151"/>
      <c r="I148" s="151"/>
      <c r="J148" s="150"/>
      <c r="K148" s="217"/>
      <c r="L148" s="176" t="n">
        <f aca="false">IF(AND(A149&lt;&gt;"",A148=""),L147+1,L147)</f>
        <v>17</v>
      </c>
      <c r="M148" s="101" t="str">
        <f aca="false">IF(OR(A148="Insumo",A148="Composição Auxiliar"),J148,"")</f>
        <v/>
      </c>
      <c r="N148" s="102" t="str">
        <f aca="false">IF(E148="Mão de Obra",J148,"")</f>
        <v/>
      </c>
      <c r="O148" s="102" t="str">
        <f aca="false">IF(N148&lt;&gt;"","",M148)</f>
        <v/>
      </c>
      <c r="P148" s="103" t="str">
        <f aca="false">IF(A148="Composição",B148,"")</f>
        <v/>
      </c>
      <c r="Q148" s="102" t="str">
        <f aca="false">IF(P148&lt;&gt;"",SUMIF(L148:L248,L148,N148:N248),"")</f>
        <v/>
      </c>
      <c r="R148" s="102" t="str">
        <f aca="false">IF(P148&lt;&gt;"",SUMIF(L148:L248,L148,O148:O248),"")</f>
        <v/>
      </c>
    </row>
    <row r="149" customFormat="false" ht="14.5" hidden="false" customHeight="false" outlineLevel="0" collapsed="false">
      <c r="A149" s="155"/>
      <c r="B149" s="155"/>
      <c r="C149" s="155"/>
      <c r="D149" s="155"/>
      <c r="E149" s="155"/>
      <c r="F149" s="155"/>
      <c r="G149" s="155"/>
      <c r="H149" s="155"/>
      <c r="I149" s="155"/>
      <c r="J149" s="155"/>
      <c r="K149" s="217"/>
      <c r="L149" s="176" t="n">
        <f aca="false">IF(AND(A150&lt;&gt;"",A149=""),L148+1,L148)</f>
        <v>17</v>
      </c>
      <c r="M149" s="101" t="str">
        <f aca="false">IF(OR(A149="Insumo",A149="Composição Auxiliar"),J149,"")</f>
        <v/>
      </c>
      <c r="N149" s="102" t="str">
        <f aca="false">IF(E149="Mão de Obra",J149,"")</f>
        <v/>
      </c>
      <c r="O149" s="102" t="str">
        <f aca="false">IF(N149&lt;&gt;"","",M149)</f>
        <v/>
      </c>
      <c r="P149" s="103" t="str">
        <f aca="false">IF(A149="Composição",B149,"")</f>
        <v/>
      </c>
      <c r="Q149" s="102" t="str">
        <f aca="false">IF(P149&lt;&gt;"",SUMIF(L149:L249,L149,N149:N249),"")</f>
        <v/>
      </c>
      <c r="R149" s="102" t="str">
        <f aca="false">IF(P149&lt;&gt;"",SUMIF(L149:L249,L149,O149:O249),"")</f>
        <v/>
      </c>
    </row>
    <row r="150" customFormat="false" ht="14" hidden="false" customHeight="true" outlineLevel="0" collapsed="false">
      <c r="A150" s="118"/>
      <c r="B150" s="119" t="s">
        <v>115</v>
      </c>
      <c r="C150" s="118" t="s">
        <v>116</v>
      </c>
      <c r="D150" s="118" t="s">
        <v>117</v>
      </c>
      <c r="E150" s="118" t="s">
        <v>118</v>
      </c>
      <c r="F150" s="118"/>
      <c r="G150" s="120" t="s">
        <v>119</v>
      </c>
      <c r="H150" s="119" t="s">
        <v>120</v>
      </c>
      <c r="I150" s="119" t="s">
        <v>130</v>
      </c>
      <c r="J150" s="119" t="s">
        <v>131</v>
      </c>
      <c r="K150" s="217"/>
      <c r="L150" s="176" t="n">
        <f aca="false">IF(AND(A151&lt;&gt;"",A150=""),L149+1,L149)</f>
        <v>18</v>
      </c>
      <c r="M150" s="101" t="str">
        <f aca="false">IF(OR(A150="Insumo",A150="Composição Auxiliar"),J150,"")</f>
        <v/>
      </c>
      <c r="N150" s="102" t="str">
        <f aca="false">IF(E150="Mão de Obra",J150,"")</f>
        <v/>
      </c>
      <c r="O150" s="102" t="str">
        <f aca="false">IF(N150&lt;&gt;"","",M150)</f>
        <v/>
      </c>
      <c r="P150" s="103" t="str">
        <f aca="false">IF(A150="Composição",B150,"")</f>
        <v/>
      </c>
      <c r="Q150" s="102" t="str">
        <f aca="false">IF(P150&lt;&gt;"",SUMIF(L150:L250,L150,N150:N250),"")</f>
        <v/>
      </c>
      <c r="R150" s="102" t="str">
        <f aca="false">IF(P150&lt;&gt;"",SUMIF(L150:L250,L150,O150:O250),"")</f>
        <v/>
      </c>
    </row>
    <row r="151" customFormat="false" ht="25" hidden="false" customHeight="true" outlineLevel="0" collapsed="false">
      <c r="A151" s="122" t="s">
        <v>121</v>
      </c>
      <c r="B151" s="55" t="s">
        <v>295</v>
      </c>
      <c r="C151" s="122" t="s">
        <v>122</v>
      </c>
      <c r="D151" s="122" t="s">
        <v>296</v>
      </c>
      <c r="E151" s="122" t="s">
        <v>124</v>
      </c>
      <c r="F151" s="122"/>
      <c r="G151" s="123" t="s">
        <v>125</v>
      </c>
      <c r="H151" s="124" t="n">
        <v>1</v>
      </c>
      <c r="I151" s="125" t="n">
        <f aca="false">SUMIF(L:L,$L151,M:M)</f>
        <v>0.3</v>
      </c>
      <c r="J151" s="125" t="n">
        <f aca="false">TRUNC(H151*I151,2)</f>
        <v>0.3</v>
      </c>
      <c r="K151" s="217"/>
      <c r="L151" s="176" t="n">
        <f aca="false">IF(AND(A152&lt;&gt;"",A151=""),L150+1,L150)</f>
        <v>18</v>
      </c>
      <c r="M151" s="101" t="str">
        <f aca="false">IF(OR(A151="Insumo",A151="Composição Auxiliar"),J151,"")</f>
        <v/>
      </c>
      <c r="N151" s="102" t="str">
        <f aca="false">IF(E151="Mão de Obra",J151,"")</f>
        <v/>
      </c>
      <c r="O151" s="102" t="str">
        <f aca="false">IF(N151&lt;&gt;"","",M151)</f>
        <v/>
      </c>
      <c r="P151" s="103" t="str">
        <f aca="false">IF(A151="Composição",B151,"")</f>
        <v> 95335 </v>
      </c>
      <c r="Q151" s="102" t="n">
        <f aca="false">IF(P151&lt;&gt;"",SUMIF(L151:L251,L151,N151:N251),"")</f>
        <v>0.3</v>
      </c>
      <c r="R151" s="102" t="n">
        <f aca="false">IF(P151&lt;&gt;"",SUMIF(L151:L251,L151,O151:O251),"")</f>
        <v>0</v>
      </c>
    </row>
    <row r="152" customFormat="false" ht="14" hidden="false" customHeight="false" outlineLevel="0" collapsed="false">
      <c r="A152" s="143" t="s">
        <v>128</v>
      </c>
      <c r="B152" s="144" t="s">
        <v>297</v>
      </c>
      <c r="C152" s="143" t="str">
        <f aca="false">VLOOKUP(B152,INSUMOS!$A:$I,2,0)</f>
        <v>SINAPI</v>
      </c>
      <c r="D152" s="143" t="str">
        <f aca="false">VLOOKUP(B152,INSUMOS!$A:$I,3,0)</f>
        <v>ENCANADOR OU BOMBEIRO HIDRAULICO (HORISTA)</v>
      </c>
      <c r="E152" s="143" t="str">
        <f aca="false">VLOOKUP(B152,INSUMOS!$A:$I,4,0)</f>
        <v>Mão de Obra</v>
      </c>
      <c r="F152" s="143"/>
      <c r="G152" s="145" t="str">
        <f aca="false">VLOOKUP(B152,INSUMOS!$A:$I,5,0)</f>
        <v>H</v>
      </c>
      <c r="H152" s="146" t="n">
        <v>0.0146</v>
      </c>
      <c r="I152" s="147" t="n">
        <f aca="false">VLOOKUP(B152,INSUMOS!$A:$I,8,0)</f>
        <v>20.55</v>
      </c>
      <c r="J152" s="147" t="n">
        <f aca="false">TRUNC(H152*I152,2)</f>
        <v>0.3</v>
      </c>
      <c r="K152" s="217"/>
      <c r="L152" s="176" t="n">
        <f aca="false">IF(AND(A153&lt;&gt;"",A152=""),L151+1,L151)</f>
        <v>18</v>
      </c>
      <c r="M152" s="101" t="n">
        <f aca="false">IF(OR(A152="Insumo",A152="Composição Auxiliar"),J152,"")</f>
        <v>0.3</v>
      </c>
      <c r="N152" s="102" t="n">
        <f aca="false">IF(E152="Mão de Obra",J152,"")</f>
        <v>0.3</v>
      </c>
      <c r="O152" s="102" t="str">
        <f aca="false">IF(N152&lt;&gt;"","",M152)</f>
        <v/>
      </c>
      <c r="P152" s="103" t="str">
        <f aca="false">IF(A152="Composição",B152,"")</f>
        <v/>
      </c>
      <c r="Q152" s="102" t="str">
        <f aca="false">IF(P152&lt;&gt;"",SUMIF(L152:L252,L152,N152:N252),"")</f>
        <v/>
      </c>
      <c r="R152" s="102" t="str">
        <f aca="false">IF(P152&lt;&gt;"",SUMIF(L152:L252,L152,O152:O252),"")</f>
        <v/>
      </c>
    </row>
    <row r="153" customFormat="false" ht="14" hidden="false" customHeight="false" outlineLevel="0" collapsed="false">
      <c r="A153" s="149"/>
      <c r="B153" s="149"/>
      <c r="C153" s="149"/>
      <c r="D153" s="149"/>
      <c r="E153" s="149"/>
      <c r="F153" s="150"/>
      <c r="G153" s="149"/>
      <c r="H153" s="150"/>
      <c r="I153" s="149"/>
      <c r="J153" s="150"/>
      <c r="K153" s="217"/>
      <c r="L153" s="176" t="n">
        <f aca="false">IF(AND(A154&lt;&gt;"",A153=""),L152+1,L152)</f>
        <v>18</v>
      </c>
      <c r="M153" s="101" t="str">
        <f aca="false">IF(OR(A153="Insumo",A153="Composição Auxiliar"),J153,"")</f>
        <v/>
      </c>
      <c r="N153" s="102" t="str">
        <f aca="false">IF(E153="Mão de Obra",J153,"")</f>
        <v/>
      </c>
      <c r="O153" s="102" t="str">
        <f aca="false">IF(N153&lt;&gt;"","",M153)</f>
        <v/>
      </c>
      <c r="P153" s="103" t="str">
        <f aca="false">IF(A153="Composição",B153,"")</f>
        <v/>
      </c>
      <c r="Q153" s="102" t="str">
        <f aca="false">IF(P153&lt;&gt;"",SUMIF(L153:L253,L153,N153:N253),"")</f>
        <v/>
      </c>
      <c r="R153" s="102" t="str">
        <f aca="false">IF(P153&lt;&gt;"",SUMIF(L153:L253,L153,O153:O253),"")</f>
        <v/>
      </c>
    </row>
    <row r="154" customFormat="false" ht="14.5" hidden="false" customHeight="false" outlineLevel="0" collapsed="false">
      <c r="A154" s="149"/>
      <c r="B154" s="149"/>
      <c r="C154" s="149"/>
      <c r="D154" s="149"/>
      <c r="E154" s="149"/>
      <c r="F154" s="150"/>
      <c r="G154" s="149"/>
      <c r="H154" s="151"/>
      <c r="I154" s="151"/>
      <c r="J154" s="150"/>
      <c r="K154" s="217"/>
      <c r="L154" s="176" t="n">
        <f aca="false">IF(AND(A155&lt;&gt;"",A154=""),L153+1,L153)</f>
        <v>18</v>
      </c>
      <c r="M154" s="101" t="str">
        <f aca="false">IF(OR(A154="Insumo",A154="Composição Auxiliar"),J154,"")</f>
        <v/>
      </c>
      <c r="N154" s="102" t="str">
        <f aca="false">IF(E154="Mão de Obra",J154,"")</f>
        <v/>
      </c>
      <c r="O154" s="102" t="str">
        <f aca="false">IF(N154&lt;&gt;"","",M154)</f>
        <v/>
      </c>
      <c r="P154" s="103" t="str">
        <f aca="false">IF(A154="Composição",B154,"")</f>
        <v/>
      </c>
      <c r="Q154" s="102" t="str">
        <f aca="false">IF(P154&lt;&gt;"",SUMIF(L154:L254,L154,N154:N254),"")</f>
        <v/>
      </c>
      <c r="R154" s="102" t="str">
        <f aca="false">IF(P154&lt;&gt;"",SUMIF(L154:L254,L154,O154:O254),"")</f>
        <v/>
      </c>
    </row>
    <row r="155" customFormat="false" ht="14.5" hidden="false" customHeight="false" outlineLevel="0" collapsed="false">
      <c r="A155" s="155"/>
      <c r="B155" s="155"/>
      <c r="C155" s="155"/>
      <c r="D155" s="155"/>
      <c r="E155" s="155"/>
      <c r="F155" s="155"/>
      <c r="G155" s="155"/>
      <c r="H155" s="155"/>
      <c r="I155" s="155"/>
      <c r="J155" s="155"/>
      <c r="K155" s="217"/>
      <c r="L155" s="176" t="n">
        <f aca="false">IF(AND(A156&lt;&gt;"",A155=""),L154+1,L154)</f>
        <v>18</v>
      </c>
      <c r="M155" s="101" t="str">
        <f aca="false">IF(OR(A155="Insumo",A155="Composição Auxiliar"),J155,"")</f>
        <v/>
      </c>
      <c r="N155" s="102" t="str">
        <f aca="false">IF(E155="Mão de Obra",J155,"")</f>
        <v/>
      </c>
      <c r="O155" s="102" t="str">
        <f aca="false">IF(N155&lt;&gt;"","",M155)</f>
        <v/>
      </c>
      <c r="P155" s="103" t="str">
        <f aca="false">IF(A155="Composição",B155,"")</f>
        <v/>
      </c>
      <c r="Q155" s="102" t="str">
        <f aca="false">IF(P155&lt;&gt;"",SUMIF(L155:L255,L155,N155:N255),"")</f>
        <v/>
      </c>
      <c r="R155" s="102" t="str">
        <f aca="false">IF(P155&lt;&gt;"",SUMIF(L155:L255,L155,O155:O255),"")</f>
        <v/>
      </c>
    </row>
    <row r="156" customFormat="false" ht="14" hidden="false" customHeight="true" outlineLevel="0" collapsed="false">
      <c r="A156" s="118"/>
      <c r="B156" s="119" t="s">
        <v>115</v>
      </c>
      <c r="C156" s="118" t="s">
        <v>116</v>
      </c>
      <c r="D156" s="118" t="s">
        <v>117</v>
      </c>
      <c r="E156" s="118" t="s">
        <v>118</v>
      </c>
      <c r="F156" s="118"/>
      <c r="G156" s="120" t="s">
        <v>119</v>
      </c>
      <c r="H156" s="119" t="s">
        <v>120</v>
      </c>
      <c r="I156" s="119" t="s">
        <v>130</v>
      </c>
      <c r="J156" s="119" t="s">
        <v>131</v>
      </c>
      <c r="K156" s="217"/>
      <c r="L156" s="176" t="n">
        <f aca="false">IF(AND(A157&lt;&gt;"",A156=""),L155+1,L155)</f>
        <v>19</v>
      </c>
      <c r="M156" s="101" t="str">
        <f aca="false">IF(OR(A156="Insumo",A156="Composição Auxiliar"),J156,"")</f>
        <v/>
      </c>
      <c r="N156" s="102" t="str">
        <f aca="false">IF(E156="Mão de Obra",J156,"")</f>
        <v/>
      </c>
      <c r="O156" s="102" t="str">
        <f aca="false">IF(N156&lt;&gt;"","",M156)</f>
        <v/>
      </c>
      <c r="P156" s="103" t="str">
        <f aca="false">IF(A156="Composição",B156,"")</f>
        <v/>
      </c>
      <c r="Q156" s="102" t="str">
        <f aca="false">IF(P156&lt;&gt;"",SUMIF(L156:L256,L156,N156:N256),"")</f>
        <v/>
      </c>
      <c r="R156" s="102" t="str">
        <f aca="false">IF(P156&lt;&gt;"",SUMIF(L156:L256,L156,O156:O256),"")</f>
        <v/>
      </c>
    </row>
    <row r="157" customFormat="false" ht="25" hidden="false" customHeight="true" outlineLevel="0" collapsed="false">
      <c r="A157" s="122" t="s">
        <v>121</v>
      </c>
      <c r="B157" s="55" t="s">
        <v>241</v>
      </c>
      <c r="C157" s="122" t="s">
        <v>122</v>
      </c>
      <c r="D157" s="122" t="s">
        <v>242</v>
      </c>
      <c r="E157" s="122" t="s">
        <v>124</v>
      </c>
      <c r="F157" s="122"/>
      <c r="G157" s="123" t="s">
        <v>125</v>
      </c>
      <c r="H157" s="124" t="n">
        <v>1</v>
      </c>
      <c r="I157" s="125" t="n">
        <f aca="false">SUMIF(L:L,$L157,M:M)</f>
        <v>2.94</v>
      </c>
      <c r="J157" s="125" t="n">
        <f aca="false">TRUNC(H157*I157,2)</f>
        <v>2.94</v>
      </c>
      <c r="K157" s="217"/>
      <c r="L157" s="176" t="n">
        <f aca="false">IF(AND(A158&lt;&gt;"",A157=""),L156+1,L156)</f>
        <v>19</v>
      </c>
      <c r="M157" s="101" t="str">
        <f aca="false">IF(OR(A157="Insumo",A157="Composição Auxiliar"),J157,"")</f>
        <v/>
      </c>
      <c r="N157" s="102" t="str">
        <f aca="false">IF(E157="Mão de Obra",J157,"")</f>
        <v/>
      </c>
      <c r="O157" s="102" t="str">
        <f aca="false">IF(N157&lt;&gt;"","",M157)</f>
        <v/>
      </c>
      <c r="P157" s="103" t="str">
        <f aca="false">IF(A157="Composição",B157,"")</f>
        <v> 95407 </v>
      </c>
      <c r="Q157" s="102" t="n">
        <f aca="false">IF(P157&lt;&gt;"",SUMIF(L157:L257,L157,N157:N257),"")</f>
        <v>2.94</v>
      </c>
      <c r="R157" s="102" t="n">
        <f aca="false">IF(P157&lt;&gt;"",SUMIF(L157:L257,L157,O157:O257),"")</f>
        <v>0</v>
      </c>
    </row>
    <row r="158" customFormat="false" ht="14" hidden="false" customHeight="false" outlineLevel="0" collapsed="false">
      <c r="A158" s="143" t="s">
        <v>128</v>
      </c>
      <c r="B158" s="144" t="s">
        <v>243</v>
      </c>
      <c r="C158" s="143" t="str">
        <f aca="false">VLOOKUP(B158,INSUMOS!$A:$I,2,0)</f>
        <v>SINAPI</v>
      </c>
      <c r="D158" s="143" t="str">
        <f aca="false">VLOOKUP(B158,INSUMOS!$A:$I,3,0)</f>
        <v>ENGENHEIRO ELETRICISTA</v>
      </c>
      <c r="E158" s="143" t="str">
        <f aca="false">VLOOKUP(B158,INSUMOS!$A:$I,4,0)</f>
        <v>Mão de Obra</v>
      </c>
      <c r="F158" s="143"/>
      <c r="G158" s="145" t="str">
        <f aca="false">VLOOKUP(B158,INSUMOS!$A:$I,5,0)</f>
        <v>H</v>
      </c>
      <c r="H158" s="146" t="n">
        <v>0.0276</v>
      </c>
      <c r="I158" s="147" t="n">
        <f aca="false">VLOOKUP(B158,INSUMOS!$A:$I,8,0)</f>
        <v>106.8</v>
      </c>
      <c r="J158" s="147" t="n">
        <f aca="false">TRUNC(H158*I158,2)</f>
        <v>2.94</v>
      </c>
      <c r="K158" s="217"/>
      <c r="L158" s="176" t="n">
        <f aca="false">IF(AND(A159&lt;&gt;"",A158=""),L157+1,L157)</f>
        <v>19</v>
      </c>
      <c r="M158" s="101" t="n">
        <f aca="false">IF(OR(A158="Insumo",A158="Composição Auxiliar"),J158,"")</f>
        <v>2.94</v>
      </c>
      <c r="N158" s="102" t="n">
        <f aca="false">IF(E158="Mão de Obra",J158,"")</f>
        <v>2.94</v>
      </c>
      <c r="O158" s="102" t="str">
        <f aca="false">IF(N158&lt;&gt;"","",M158)</f>
        <v/>
      </c>
      <c r="P158" s="103" t="str">
        <f aca="false">IF(A158="Composição",B158,"")</f>
        <v/>
      </c>
      <c r="Q158" s="102" t="str">
        <f aca="false">IF(P158&lt;&gt;"",SUMIF(L158:L258,L158,N158:N258),"")</f>
        <v/>
      </c>
      <c r="R158" s="102" t="str">
        <f aca="false">IF(P158&lt;&gt;"",SUMIF(L158:L258,L158,O158:O258),"")</f>
        <v/>
      </c>
    </row>
    <row r="159" customFormat="false" ht="14" hidden="false" customHeight="false" outlineLevel="0" collapsed="false">
      <c r="A159" s="149"/>
      <c r="B159" s="149"/>
      <c r="C159" s="149"/>
      <c r="D159" s="149"/>
      <c r="E159" s="149"/>
      <c r="F159" s="150"/>
      <c r="G159" s="149"/>
      <c r="H159" s="150"/>
      <c r="I159" s="149"/>
      <c r="J159" s="150"/>
      <c r="K159" s="217"/>
      <c r="L159" s="176" t="n">
        <f aca="false">IF(AND(A160&lt;&gt;"",A159=""),L158+1,L158)</f>
        <v>19</v>
      </c>
      <c r="M159" s="101" t="str">
        <f aca="false">IF(OR(A159="Insumo",A159="Composição Auxiliar"),J159,"")</f>
        <v/>
      </c>
      <c r="N159" s="102" t="str">
        <f aca="false">IF(E159="Mão de Obra",J159,"")</f>
        <v/>
      </c>
      <c r="O159" s="102" t="str">
        <f aca="false">IF(N159&lt;&gt;"","",M159)</f>
        <v/>
      </c>
      <c r="P159" s="103" t="str">
        <f aca="false">IF(A159="Composição",B159,"")</f>
        <v/>
      </c>
      <c r="Q159" s="102" t="str">
        <f aca="false">IF(P159&lt;&gt;"",SUMIF(L159:L259,L159,N159:N259),"")</f>
        <v/>
      </c>
      <c r="R159" s="102" t="str">
        <f aca="false">IF(P159&lt;&gt;"",SUMIF(L159:L259,L159,O159:O259),"")</f>
        <v/>
      </c>
    </row>
    <row r="160" customFormat="false" ht="14.5" hidden="false" customHeight="false" outlineLevel="0" collapsed="false">
      <c r="A160" s="149"/>
      <c r="B160" s="149"/>
      <c r="C160" s="149"/>
      <c r="D160" s="149"/>
      <c r="E160" s="149"/>
      <c r="F160" s="150"/>
      <c r="G160" s="149"/>
      <c r="H160" s="151"/>
      <c r="I160" s="151"/>
      <c r="J160" s="150"/>
      <c r="K160" s="217"/>
      <c r="L160" s="176" t="n">
        <f aca="false">IF(AND(A161&lt;&gt;"",A160=""),L159+1,L159)</f>
        <v>19</v>
      </c>
      <c r="M160" s="101" t="str">
        <f aca="false">IF(OR(A160="Insumo",A160="Composição Auxiliar"),J160,"")</f>
        <v/>
      </c>
      <c r="N160" s="102" t="str">
        <f aca="false">IF(E160="Mão de Obra",J160,"")</f>
        <v/>
      </c>
      <c r="O160" s="102" t="str">
        <f aca="false">IF(N160&lt;&gt;"","",M160)</f>
        <v/>
      </c>
      <c r="P160" s="103" t="str">
        <f aca="false">IF(A160="Composição",B160,"")</f>
        <v/>
      </c>
      <c r="Q160" s="102" t="str">
        <f aca="false">IF(P160&lt;&gt;"",SUMIF(L160:L260,L160,N160:N260),"")</f>
        <v/>
      </c>
      <c r="R160" s="102" t="str">
        <f aca="false">IF(P160&lt;&gt;"",SUMIF(L160:L260,L160,O160:O260),"")</f>
        <v/>
      </c>
    </row>
    <row r="161" customFormat="false" ht="14.5" hidden="false" customHeight="false" outlineLevel="0" collapsed="false">
      <c r="A161" s="155"/>
      <c r="B161" s="155"/>
      <c r="C161" s="155"/>
      <c r="D161" s="155"/>
      <c r="E161" s="155"/>
      <c r="F161" s="155"/>
      <c r="G161" s="155"/>
      <c r="H161" s="155"/>
      <c r="I161" s="155"/>
      <c r="J161" s="155"/>
      <c r="K161" s="217"/>
      <c r="L161" s="176" t="n">
        <f aca="false">IF(AND(A162&lt;&gt;"",A161=""),L160+1,L160)</f>
        <v>19</v>
      </c>
      <c r="M161" s="101" t="str">
        <f aca="false">IF(OR(A161="Insumo",A161="Composição Auxiliar"),J161,"")</f>
        <v/>
      </c>
      <c r="N161" s="102" t="str">
        <f aca="false">IF(E161="Mão de Obra",J161,"")</f>
        <v/>
      </c>
      <c r="O161" s="102" t="str">
        <f aca="false">IF(N161&lt;&gt;"","",M161)</f>
        <v/>
      </c>
      <c r="P161" s="103" t="str">
        <f aca="false">IF(A161="Composição",B161,"")</f>
        <v/>
      </c>
      <c r="Q161" s="102" t="str">
        <f aca="false">IF(P161&lt;&gt;"",SUMIF(L161:L261,L161,N161:N261),"")</f>
        <v/>
      </c>
      <c r="R161" s="102" t="str">
        <f aca="false">IF(P161&lt;&gt;"",SUMIF(L161:L261,L161,O161:O261),"")</f>
        <v/>
      </c>
    </row>
    <row r="162" customFormat="false" ht="14" hidden="false" customHeight="true" outlineLevel="0" collapsed="false">
      <c r="A162" s="118"/>
      <c r="B162" s="119" t="s">
        <v>115</v>
      </c>
      <c r="C162" s="118" t="s">
        <v>116</v>
      </c>
      <c r="D162" s="118" t="s">
        <v>117</v>
      </c>
      <c r="E162" s="118" t="s">
        <v>118</v>
      </c>
      <c r="F162" s="118"/>
      <c r="G162" s="120" t="s">
        <v>119</v>
      </c>
      <c r="H162" s="119" t="s">
        <v>120</v>
      </c>
      <c r="I162" s="119" t="s">
        <v>130</v>
      </c>
      <c r="J162" s="119" t="s">
        <v>131</v>
      </c>
      <c r="K162" s="217"/>
      <c r="L162" s="176" t="n">
        <f aca="false">IF(AND(A163&lt;&gt;"",A162=""),L161+1,L161)</f>
        <v>20</v>
      </c>
      <c r="M162" s="101" t="str">
        <f aca="false">IF(OR(A162="Insumo",A162="Composição Auxiliar"),J162,"")</f>
        <v/>
      </c>
      <c r="N162" s="102" t="str">
        <f aca="false">IF(E162="Mão de Obra",J162,"")</f>
        <v/>
      </c>
      <c r="O162" s="102" t="str">
        <f aca="false">IF(N162&lt;&gt;"","",M162)</f>
        <v/>
      </c>
      <c r="P162" s="103" t="str">
        <f aca="false">IF(A162="Composição",B162,"")</f>
        <v/>
      </c>
      <c r="Q162" s="102" t="str">
        <f aca="false">IF(P162&lt;&gt;"",SUMIF(L162:L262,L162,N162:N262),"")</f>
        <v/>
      </c>
      <c r="R162" s="102" t="str">
        <f aca="false">IF(P162&lt;&gt;"",SUMIF(L162:L262,L162,O162:O262),"")</f>
        <v/>
      </c>
    </row>
    <row r="163" customFormat="false" ht="25" hidden="false" customHeight="true" outlineLevel="0" collapsed="false">
      <c r="A163" s="122" t="s">
        <v>121</v>
      </c>
      <c r="B163" s="55" t="s">
        <v>298</v>
      </c>
      <c r="C163" s="122" t="s">
        <v>122</v>
      </c>
      <c r="D163" s="122" t="s">
        <v>299</v>
      </c>
      <c r="E163" s="122" t="s">
        <v>124</v>
      </c>
      <c r="F163" s="122"/>
      <c r="G163" s="123" t="s">
        <v>125</v>
      </c>
      <c r="H163" s="124" t="n">
        <v>1</v>
      </c>
      <c r="I163" s="125" t="n">
        <f aca="false">SUMIF(L:L,$L163,M:M)</f>
        <v>0.32</v>
      </c>
      <c r="J163" s="125" t="n">
        <f aca="false">TRUNC(H163*I163,2)</f>
        <v>0.32</v>
      </c>
      <c r="K163" s="217"/>
      <c r="L163" s="176" t="n">
        <f aca="false">IF(AND(A164&lt;&gt;"",A163=""),L162+1,L162)</f>
        <v>20</v>
      </c>
      <c r="M163" s="101" t="str">
        <f aca="false">IF(OR(A163="Insumo",A163="Composição Auxiliar"),J163,"")</f>
        <v/>
      </c>
      <c r="N163" s="102" t="str">
        <f aca="false">IF(E163="Mão de Obra",J163,"")</f>
        <v/>
      </c>
      <c r="O163" s="102" t="str">
        <f aca="false">IF(N163&lt;&gt;"","",M163)</f>
        <v/>
      </c>
      <c r="P163" s="103" t="str">
        <f aca="false">IF(A163="Composição",B163,"")</f>
        <v> 95351 </v>
      </c>
      <c r="Q163" s="102" t="n">
        <f aca="false">IF(P163&lt;&gt;"",SUMIF(L163:L263,L163,N163:N263),"")</f>
        <v>0.32</v>
      </c>
      <c r="R163" s="102" t="n">
        <f aca="false">IF(P163&lt;&gt;"",SUMIF(L163:L263,L163,O163:O263),"")</f>
        <v>0</v>
      </c>
    </row>
    <row r="164" customFormat="false" ht="14" hidden="false" customHeight="false" outlineLevel="0" collapsed="false">
      <c r="A164" s="143" t="s">
        <v>128</v>
      </c>
      <c r="B164" s="144" t="s">
        <v>300</v>
      </c>
      <c r="C164" s="143" t="str">
        <f aca="false">VLOOKUP(B164,INSUMOS!$A:$I,2,0)</f>
        <v>SINAPI</v>
      </c>
      <c r="D164" s="143" t="str">
        <f aca="false">VLOOKUP(B164,INSUMOS!$A:$I,3,0)</f>
        <v>MOTORISTA OPERADOR DE CAMINHAO COM MUNCK</v>
      </c>
      <c r="E164" s="143" t="str">
        <f aca="false">VLOOKUP(B164,INSUMOS!$A:$I,4,0)</f>
        <v>Mão de Obra</v>
      </c>
      <c r="F164" s="143"/>
      <c r="G164" s="145" t="str">
        <f aca="false">VLOOKUP(B164,INSUMOS!$A:$I,5,0)</f>
        <v>H</v>
      </c>
      <c r="H164" s="146" t="n">
        <v>0.0133</v>
      </c>
      <c r="I164" s="147" t="n">
        <f aca="false">VLOOKUP(B164,INSUMOS!$A:$I,8,0)</f>
        <v>24.49</v>
      </c>
      <c r="J164" s="147" t="n">
        <f aca="false">TRUNC(H164*I164,2)</f>
        <v>0.32</v>
      </c>
      <c r="K164" s="217"/>
      <c r="L164" s="176" t="n">
        <f aca="false">IF(AND(A165&lt;&gt;"",A164=""),L163+1,L163)</f>
        <v>20</v>
      </c>
      <c r="M164" s="101" t="n">
        <f aca="false">IF(OR(A164="Insumo",A164="Composição Auxiliar"),J164,"")</f>
        <v>0.32</v>
      </c>
      <c r="N164" s="102" t="n">
        <f aca="false">IF(E164="Mão de Obra",J164,"")</f>
        <v>0.32</v>
      </c>
      <c r="O164" s="102" t="str">
        <f aca="false">IF(N164&lt;&gt;"","",M164)</f>
        <v/>
      </c>
      <c r="P164" s="103" t="str">
        <f aca="false">IF(A164="Composição",B164,"")</f>
        <v/>
      </c>
      <c r="Q164" s="102" t="str">
        <f aca="false">IF(P164&lt;&gt;"",SUMIF(L164:L264,L164,N164:N264),"")</f>
        <v/>
      </c>
      <c r="R164" s="102" t="str">
        <f aca="false">IF(P164&lt;&gt;"",SUMIF(L164:L264,L164,O164:O264),"")</f>
        <v/>
      </c>
    </row>
    <row r="165" customFormat="false" ht="37.5" hidden="false" customHeight="true" outlineLevel="0" collapsed="false">
      <c r="A165" s="149"/>
      <c r="B165" s="149"/>
      <c r="C165" s="149"/>
      <c r="D165" s="149"/>
      <c r="E165" s="149"/>
      <c r="F165" s="150"/>
      <c r="G165" s="149"/>
      <c r="H165" s="150"/>
      <c r="I165" s="149"/>
      <c r="J165" s="150"/>
      <c r="K165" s="217"/>
      <c r="L165" s="176" t="n">
        <f aca="false">IF(AND(A166&lt;&gt;"",A165=""),L164+1,L164)</f>
        <v>20</v>
      </c>
      <c r="M165" s="101" t="str">
        <f aca="false">IF(OR(A165="Insumo",A165="Composição Auxiliar"),J165,"")</f>
        <v/>
      </c>
      <c r="N165" s="102" t="str">
        <f aca="false">IF(E165="Mão de Obra",J165,"")</f>
        <v/>
      </c>
      <c r="O165" s="102" t="str">
        <f aca="false">IF(N165&lt;&gt;"","",M165)</f>
        <v/>
      </c>
      <c r="P165" s="103" t="str">
        <f aca="false">IF(A165="Composição",B165,"")</f>
        <v/>
      </c>
      <c r="Q165" s="102" t="str">
        <f aca="false">IF(P165&lt;&gt;"",SUMIF(L165:L265,L165,N165:N265),"")</f>
        <v/>
      </c>
      <c r="R165" s="102" t="str">
        <f aca="false">IF(P165&lt;&gt;"",SUMIF(L165:L265,L165,O165:O265),"")</f>
        <v/>
      </c>
    </row>
    <row r="166" customFormat="false" ht="37.5" hidden="false" customHeight="true" outlineLevel="0" collapsed="false">
      <c r="A166" s="149"/>
      <c r="B166" s="149"/>
      <c r="C166" s="149"/>
      <c r="D166" s="149"/>
      <c r="E166" s="149"/>
      <c r="F166" s="150"/>
      <c r="G166" s="149"/>
      <c r="H166" s="151"/>
      <c r="I166" s="151"/>
      <c r="J166" s="150"/>
      <c r="K166" s="217"/>
      <c r="L166" s="176" t="n">
        <f aca="false">IF(AND(A167&lt;&gt;"",A166=""),L165+1,L165)</f>
        <v>20</v>
      </c>
      <c r="M166" s="101" t="str">
        <f aca="false">IF(OR(A166="Insumo",A166="Composição Auxiliar"),J166,"")</f>
        <v/>
      </c>
      <c r="N166" s="102" t="str">
        <f aca="false">IF(E166="Mão de Obra",J166,"")</f>
        <v/>
      </c>
      <c r="O166" s="102" t="str">
        <f aca="false">IF(N166&lt;&gt;"","",M166)</f>
        <v/>
      </c>
      <c r="P166" s="103" t="str">
        <f aca="false">IF(A166="Composição",B166,"")</f>
        <v/>
      </c>
      <c r="Q166" s="102" t="str">
        <f aca="false">IF(P166&lt;&gt;"",SUMIF(L166:L266,L166,N166:N266),"")</f>
        <v/>
      </c>
      <c r="R166" s="102" t="str">
        <f aca="false">IF(P166&lt;&gt;"",SUMIF(L166:L266,L166,O166:O266),"")</f>
        <v/>
      </c>
    </row>
    <row r="167" customFormat="false" ht="14.5" hidden="false" customHeight="false" outlineLevel="0" collapsed="false">
      <c r="A167" s="155"/>
      <c r="B167" s="155"/>
      <c r="C167" s="155"/>
      <c r="D167" s="155"/>
      <c r="E167" s="155"/>
      <c r="F167" s="155"/>
      <c r="G167" s="155"/>
      <c r="H167" s="155"/>
      <c r="I167" s="155"/>
      <c r="J167" s="155"/>
      <c r="K167" s="217"/>
      <c r="L167" s="176" t="n">
        <f aca="false">IF(AND(A168&lt;&gt;"",A167=""),L166+1,L166)</f>
        <v>20</v>
      </c>
      <c r="M167" s="101" t="str">
        <f aca="false">IF(OR(A167="Insumo",A167="Composição Auxiliar"),J167,"")</f>
        <v/>
      </c>
      <c r="N167" s="102" t="str">
        <f aca="false">IF(E167="Mão de Obra",J167,"")</f>
        <v/>
      </c>
      <c r="O167" s="102" t="str">
        <f aca="false">IF(N167&lt;&gt;"","",M167)</f>
        <v/>
      </c>
      <c r="P167" s="103" t="str">
        <f aca="false">IF(A167="Composição",B167,"")</f>
        <v/>
      </c>
      <c r="Q167" s="102" t="str">
        <f aca="false">IF(P167&lt;&gt;"",SUMIF(L167:L267,L167,N167:N267),"")</f>
        <v/>
      </c>
      <c r="R167" s="102" t="str">
        <f aca="false">IF(P167&lt;&gt;"",SUMIF(L167:L267,L167,O167:O267),"")</f>
        <v/>
      </c>
    </row>
    <row r="168" customFormat="false" ht="25" hidden="false" customHeight="true" outlineLevel="0" collapsed="false">
      <c r="A168" s="118"/>
      <c r="B168" s="119" t="s">
        <v>115</v>
      </c>
      <c r="C168" s="118" t="s">
        <v>116</v>
      </c>
      <c r="D168" s="118" t="s">
        <v>117</v>
      </c>
      <c r="E168" s="118" t="s">
        <v>118</v>
      </c>
      <c r="F168" s="118"/>
      <c r="G168" s="120" t="s">
        <v>119</v>
      </c>
      <c r="H168" s="119" t="s">
        <v>120</v>
      </c>
      <c r="I168" s="119" t="s">
        <v>130</v>
      </c>
      <c r="J168" s="119" t="s">
        <v>131</v>
      </c>
      <c r="K168" s="217"/>
      <c r="L168" s="176" t="n">
        <f aca="false">IF(AND(A169&lt;&gt;"",A168=""),L167+1,L167)</f>
        <v>21</v>
      </c>
      <c r="M168" s="101" t="str">
        <f aca="false">IF(OR(A168="Insumo",A168="Composição Auxiliar"),J168,"")</f>
        <v/>
      </c>
      <c r="N168" s="102" t="str">
        <f aca="false">IF(E168="Mão de Obra",J168,"")</f>
        <v/>
      </c>
      <c r="O168" s="102" t="str">
        <f aca="false">IF(N168&lt;&gt;"","",M168)</f>
        <v/>
      </c>
      <c r="P168" s="103" t="str">
        <f aca="false">IF(A168="Composição",B168,"")</f>
        <v/>
      </c>
      <c r="Q168" s="102" t="str">
        <f aca="false">IF(P168&lt;&gt;"",SUMIF(L168:L268,L168,N168:N268),"")</f>
        <v/>
      </c>
      <c r="R168" s="102" t="str">
        <f aca="false">IF(P168&lt;&gt;"",SUMIF(L168:L268,L168,O168:O268),"")</f>
        <v/>
      </c>
    </row>
    <row r="169" customFormat="false" ht="37.5" hidden="false" customHeight="true" outlineLevel="0" collapsed="false">
      <c r="A169" s="122" t="s">
        <v>121</v>
      </c>
      <c r="B169" s="55" t="s">
        <v>301</v>
      </c>
      <c r="C169" s="122" t="s">
        <v>122</v>
      </c>
      <c r="D169" s="122" t="s">
        <v>302</v>
      </c>
      <c r="E169" s="122" t="s">
        <v>124</v>
      </c>
      <c r="F169" s="122"/>
      <c r="G169" s="123" t="s">
        <v>125</v>
      </c>
      <c r="H169" s="124" t="n">
        <v>1</v>
      </c>
      <c r="I169" s="125" t="n">
        <f aca="false">SUMIF(L:L,$L169,M:M)</f>
        <v>0.13</v>
      </c>
      <c r="J169" s="125" t="n">
        <f aca="false">TRUNC(H169*I169,2)</f>
        <v>0.13</v>
      </c>
      <c r="K169" s="217"/>
      <c r="L169" s="176" t="n">
        <f aca="false">IF(AND(A170&lt;&gt;"",A169=""),L168+1,L168)</f>
        <v>21</v>
      </c>
      <c r="M169" s="101" t="str">
        <f aca="false">IF(OR(A169="Insumo",A169="Composição Auxiliar"),J169,"")</f>
        <v/>
      </c>
      <c r="N169" s="102" t="str">
        <f aca="false">IF(E169="Mão de Obra",J169,"")</f>
        <v/>
      </c>
      <c r="O169" s="102" t="str">
        <f aca="false">IF(N169&lt;&gt;"","",M169)</f>
        <v/>
      </c>
      <c r="P169" s="103" t="str">
        <f aca="false">IF(A169="Composição",B169,"")</f>
        <v> 95389 </v>
      </c>
      <c r="Q169" s="102" t="n">
        <f aca="false">IF(P169&lt;&gt;"",SUMIF(L169:L269,L169,N169:N269),"")</f>
        <v>0.13</v>
      </c>
      <c r="R169" s="102" t="n">
        <f aca="false">IF(P169&lt;&gt;"",SUMIF(L169:L269,L169,O169:O269),"")</f>
        <v>0</v>
      </c>
    </row>
    <row r="170" customFormat="false" ht="14" hidden="false" customHeight="false" outlineLevel="0" collapsed="false">
      <c r="A170" s="143" t="s">
        <v>128</v>
      </c>
      <c r="B170" s="144" t="s">
        <v>303</v>
      </c>
      <c r="C170" s="143" t="str">
        <f aca="false">VLOOKUP(B170,INSUMOS!$A:$I,2,0)</f>
        <v>SINAPI</v>
      </c>
      <c r="D170" s="143" t="str">
        <f aca="false">VLOOKUP(B170,INSUMOS!$A:$I,3,0)</f>
        <v>OPERADOR DE BETONEIRA ESTACIONARIA / MISTURADOR</v>
      </c>
      <c r="E170" s="143" t="str">
        <f aca="false">VLOOKUP(B170,INSUMOS!$A:$I,4,0)</f>
        <v>Mão de Obra</v>
      </c>
      <c r="F170" s="143"/>
      <c r="G170" s="145" t="str">
        <f aca="false">VLOOKUP(B170,INSUMOS!$A:$I,5,0)</f>
        <v>H</v>
      </c>
      <c r="H170" s="146" t="n">
        <v>0.0067</v>
      </c>
      <c r="I170" s="147" t="n">
        <f aca="false">VLOOKUP(B170,INSUMOS!$A:$I,8,0)</f>
        <v>20.44</v>
      </c>
      <c r="J170" s="147" t="n">
        <f aca="false">TRUNC(H170*I170,2)</f>
        <v>0.13</v>
      </c>
      <c r="K170" s="217"/>
      <c r="L170" s="176" t="n">
        <f aca="false">IF(AND(A171&lt;&gt;"",A170=""),L169+1,L169)</f>
        <v>21</v>
      </c>
      <c r="M170" s="101" t="n">
        <f aca="false">IF(OR(A170="Insumo",A170="Composição Auxiliar"),J170,"")</f>
        <v>0.13</v>
      </c>
      <c r="N170" s="102" t="n">
        <f aca="false">IF(E170="Mão de Obra",J170,"")</f>
        <v>0.13</v>
      </c>
      <c r="O170" s="102" t="str">
        <f aca="false">IF(N170&lt;&gt;"","",M170)</f>
        <v/>
      </c>
      <c r="P170" s="103" t="str">
        <f aca="false">IF(A170="Composição",B170,"")</f>
        <v/>
      </c>
      <c r="Q170" s="102" t="str">
        <f aca="false">IF(P170&lt;&gt;"",SUMIF(L170:L270,L170,N170:N270),"")</f>
        <v/>
      </c>
      <c r="R170" s="102" t="str">
        <f aca="false">IF(P170&lt;&gt;"",SUMIF(L170:L270,L170,O170:O270),"")</f>
        <v/>
      </c>
    </row>
    <row r="171" customFormat="false" ht="14" hidden="false" customHeight="false" outlineLevel="0" collapsed="false">
      <c r="A171" s="149"/>
      <c r="B171" s="149"/>
      <c r="C171" s="149"/>
      <c r="D171" s="149"/>
      <c r="E171" s="149"/>
      <c r="F171" s="150"/>
      <c r="G171" s="149"/>
      <c r="H171" s="150"/>
      <c r="I171" s="149"/>
      <c r="J171" s="150"/>
      <c r="K171" s="217"/>
      <c r="L171" s="176" t="n">
        <f aca="false">IF(AND(A172&lt;&gt;"",A171=""),L170+1,L170)</f>
        <v>21</v>
      </c>
      <c r="M171" s="101" t="str">
        <f aca="false">IF(OR(A171="Insumo",A171="Composição Auxiliar"),J171,"")</f>
        <v/>
      </c>
      <c r="N171" s="102" t="str">
        <f aca="false">IF(E171="Mão de Obra",J171,"")</f>
        <v/>
      </c>
      <c r="O171" s="102" t="str">
        <f aca="false">IF(N171&lt;&gt;"","",M171)</f>
        <v/>
      </c>
      <c r="P171" s="103" t="str">
        <f aca="false">IF(A171="Composição",B171,"")</f>
        <v/>
      </c>
      <c r="Q171" s="102" t="str">
        <f aca="false">IF(P171&lt;&gt;"",SUMIF(L171:L271,L171,N171:N271),"")</f>
        <v/>
      </c>
      <c r="R171" s="102" t="str">
        <f aca="false">IF(P171&lt;&gt;"",SUMIF(L171:L271,L171,O171:O271),"")</f>
        <v/>
      </c>
    </row>
    <row r="172" customFormat="false" ht="14.5" hidden="false" customHeight="false" outlineLevel="0" collapsed="false">
      <c r="A172" s="149"/>
      <c r="B172" s="149"/>
      <c r="C172" s="149"/>
      <c r="D172" s="149"/>
      <c r="E172" s="149"/>
      <c r="F172" s="150"/>
      <c r="G172" s="149"/>
      <c r="H172" s="151"/>
      <c r="I172" s="151"/>
      <c r="J172" s="150"/>
      <c r="K172" s="217"/>
      <c r="L172" s="176" t="n">
        <f aca="false">IF(AND(A173&lt;&gt;"",A172=""),L171+1,L171)</f>
        <v>21</v>
      </c>
      <c r="M172" s="101" t="str">
        <f aca="false">IF(OR(A172="Insumo",A172="Composição Auxiliar"),J172,"")</f>
        <v/>
      </c>
      <c r="N172" s="102" t="str">
        <f aca="false">IF(E172="Mão de Obra",J172,"")</f>
        <v/>
      </c>
      <c r="O172" s="102" t="str">
        <f aca="false">IF(N172&lt;&gt;"","",M172)</f>
        <v/>
      </c>
      <c r="P172" s="103" t="str">
        <f aca="false">IF(A172="Composição",B172,"")</f>
        <v/>
      </c>
      <c r="Q172" s="102" t="str">
        <f aca="false">IF(P172&lt;&gt;"",SUMIF(L172:L272,L172,N172:N272),"")</f>
        <v/>
      </c>
      <c r="R172" s="102" t="str">
        <f aca="false">IF(P172&lt;&gt;"",SUMIF(L172:L272,L172,O172:O272),"")</f>
        <v/>
      </c>
    </row>
    <row r="173" customFormat="false" ht="14.5" hidden="false" customHeight="false" outlineLevel="0" collapsed="false">
      <c r="A173" s="155"/>
      <c r="B173" s="155"/>
      <c r="C173" s="155"/>
      <c r="D173" s="155"/>
      <c r="E173" s="155"/>
      <c r="F173" s="155"/>
      <c r="G173" s="155"/>
      <c r="H173" s="155"/>
      <c r="I173" s="155"/>
      <c r="J173" s="155"/>
      <c r="K173" s="217"/>
      <c r="L173" s="176" t="n">
        <f aca="false">IF(AND(A174&lt;&gt;"",A173=""),L172+1,L172)</f>
        <v>21</v>
      </c>
      <c r="M173" s="101" t="str">
        <f aca="false">IF(OR(A173="Insumo",A173="Composição Auxiliar"),J173,"")</f>
        <v/>
      </c>
      <c r="N173" s="102" t="str">
        <f aca="false">IF(E173="Mão de Obra",J173,"")</f>
        <v/>
      </c>
      <c r="O173" s="102" t="str">
        <f aca="false">IF(N173&lt;&gt;"","",M173)</f>
        <v/>
      </c>
      <c r="P173" s="103" t="str">
        <f aca="false">IF(A173="Composição",B173,"")</f>
        <v/>
      </c>
      <c r="Q173" s="102" t="str">
        <f aca="false">IF(P173&lt;&gt;"",SUMIF(L173:L273,L173,N173:N273),"")</f>
        <v/>
      </c>
      <c r="R173" s="102" t="str">
        <f aca="false">IF(P173&lt;&gt;"",SUMIF(L173:L273,L173,O173:O273),"")</f>
        <v/>
      </c>
    </row>
    <row r="174" customFormat="false" ht="14" hidden="false" customHeight="true" outlineLevel="0" collapsed="false">
      <c r="A174" s="118"/>
      <c r="B174" s="119" t="s">
        <v>115</v>
      </c>
      <c r="C174" s="118" t="s">
        <v>116</v>
      </c>
      <c r="D174" s="118" t="s">
        <v>117</v>
      </c>
      <c r="E174" s="118" t="s">
        <v>118</v>
      </c>
      <c r="F174" s="118"/>
      <c r="G174" s="120" t="s">
        <v>119</v>
      </c>
      <c r="H174" s="119" t="s">
        <v>120</v>
      </c>
      <c r="I174" s="119" t="s">
        <v>130</v>
      </c>
      <c r="J174" s="119" t="s">
        <v>131</v>
      </c>
      <c r="K174" s="217"/>
      <c r="L174" s="176" t="n">
        <f aca="false">IF(AND(A175&lt;&gt;"",A174=""),L173+1,L173)</f>
        <v>22</v>
      </c>
      <c r="M174" s="101" t="str">
        <f aca="false">IF(OR(A174="Insumo",A174="Composição Auxiliar"),J174,"")</f>
        <v/>
      </c>
      <c r="N174" s="102" t="str">
        <f aca="false">IF(E174="Mão de Obra",J174,"")</f>
        <v/>
      </c>
      <c r="O174" s="102" t="str">
        <f aca="false">IF(N174&lt;&gt;"","",M174)</f>
        <v/>
      </c>
      <c r="P174" s="103" t="str">
        <f aca="false">IF(A174="Composição",B174,"")</f>
        <v/>
      </c>
      <c r="Q174" s="102" t="str">
        <f aca="false">IF(P174&lt;&gt;"",SUMIF(L174:L274,L174,N174:N274),"")</f>
        <v/>
      </c>
      <c r="R174" s="102" t="str">
        <f aca="false">IF(P174&lt;&gt;"",SUMIF(L174:L274,L174,O174:O274),"")</f>
        <v/>
      </c>
    </row>
    <row r="175" customFormat="false" ht="37.5" hidden="false" customHeight="true" outlineLevel="0" collapsed="false">
      <c r="A175" s="122" t="s">
        <v>121</v>
      </c>
      <c r="B175" s="55" t="s">
        <v>304</v>
      </c>
      <c r="C175" s="122" t="s">
        <v>122</v>
      </c>
      <c r="D175" s="122" t="s">
        <v>305</v>
      </c>
      <c r="E175" s="122" t="s">
        <v>124</v>
      </c>
      <c r="F175" s="122"/>
      <c r="G175" s="123" t="s">
        <v>125</v>
      </c>
      <c r="H175" s="124" t="n">
        <v>1</v>
      </c>
      <c r="I175" s="125" t="n">
        <f aca="false">SUMIF(L:L,$L175,M:M)</f>
        <v>0.1</v>
      </c>
      <c r="J175" s="125" t="n">
        <f aca="false">TRUNC(H175*I175,2)</f>
        <v>0.1</v>
      </c>
      <c r="K175" s="217"/>
      <c r="L175" s="176" t="n">
        <f aca="false">IF(AND(A176&lt;&gt;"",A175=""),L174+1,L174)</f>
        <v>22</v>
      </c>
      <c r="M175" s="101" t="str">
        <f aca="false">IF(OR(A175="Insumo",A175="Composição Auxiliar"),J175,"")</f>
        <v/>
      </c>
      <c r="N175" s="102" t="str">
        <f aca="false">IF(E175="Mão de Obra",J175,"")</f>
        <v/>
      </c>
      <c r="O175" s="102" t="str">
        <f aca="false">IF(N175&lt;&gt;"","",M175)</f>
        <v/>
      </c>
      <c r="P175" s="103" t="str">
        <f aca="false">IF(A175="Composição",B175,"")</f>
        <v> 95361 </v>
      </c>
      <c r="Q175" s="102" t="n">
        <f aca="false">IF(P175&lt;&gt;"",SUMIF(L175:L275,L175,N175:N275),"")</f>
        <v>0.1</v>
      </c>
      <c r="R175" s="102" t="n">
        <f aca="false">IF(P175&lt;&gt;"",SUMIF(L175:L275,L175,O175:O275),"")</f>
        <v>0</v>
      </c>
    </row>
    <row r="176" customFormat="false" ht="37.5" hidden="false" customHeight="true" outlineLevel="0" collapsed="false">
      <c r="A176" s="143" t="s">
        <v>128</v>
      </c>
      <c r="B176" s="144" t="s">
        <v>306</v>
      </c>
      <c r="C176" s="143" t="str">
        <f aca="false">VLOOKUP(B176,INSUMOS!$A:$I,2,0)</f>
        <v>SINAPI</v>
      </c>
      <c r="D176" s="143" t="str">
        <f aca="false">VLOOKUP(B176,INSUMOS!$A:$I,3,0)</f>
        <v>OPERADOR DE MARTELETE OU MARTELETEIRO</v>
      </c>
      <c r="E176" s="143" t="str">
        <f aca="false">VLOOKUP(B176,INSUMOS!$A:$I,4,0)</f>
        <v>Mão de Obra</v>
      </c>
      <c r="F176" s="143"/>
      <c r="G176" s="145" t="str">
        <f aca="false">VLOOKUP(B176,INSUMOS!$A:$I,5,0)</f>
        <v>H</v>
      </c>
      <c r="H176" s="146" t="n">
        <v>0.0067</v>
      </c>
      <c r="I176" s="147" t="n">
        <f aca="false">VLOOKUP(B176,INSUMOS!$A:$I,8,0)</f>
        <v>15.53</v>
      </c>
      <c r="J176" s="147" t="n">
        <f aca="false">TRUNC(H176*I176,2)</f>
        <v>0.1</v>
      </c>
      <c r="K176" s="217"/>
      <c r="L176" s="176" t="n">
        <f aca="false">IF(AND(A177&lt;&gt;"",A176=""),L175+1,L175)</f>
        <v>22</v>
      </c>
      <c r="M176" s="101" t="n">
        <f aca="false">IF(OR(A176="Insumo",A176="Composição Auxiliar"),J176,"")</f>
        <v>0.1</v>
      </c>
      <c r="N176" s="102" t="n">
        <f aca="false">IF(E176="Mão de Obra",J176,"")</f>
        <v>0.1</v>
      </c>
      <c r="O176" s="102" t="str">
        <f aca="false">IF(N176&lt;&gt;"","",M176)</f>
        <v/>
      </c>
      <c r="P176" s="103" t="str">
        <f aca="false">IF(A176="Composição",B176,"")</f>
        <v/>
      </c>
      <c r="Q176" s="102" t="str">
        <f aca="false">IF(P176&lt;&gt;"",SUMIF(L176:L276,L176,N176:N276),"")</f>
        <v/>
      </c>
      <c r="R176" s="102" t="str">
        <f aca="false">IF(P176&lt;&gt;"",SUMIF(L176:L276,L176,O176:O276),"")</f>
        <v/>
      </c>
    </row>
    <row r="177" customFormat="false" ht="14" hidden="false" customHeight="false" outlineLevel="0" collapsed="false">
      <c r="A177" s="149"/>
      <c r="B177" s="149"/>
      <c r="C177" s="149"/>
      <c r="D177" s="149"/>
      <c r="E177" s="149"/>
      <c r="F177" s="150"/>
      <c r="G177" s="149"/>
      <c r="H177" s="150"/>
      <c r="I177" s="149"/>
      <c r="J177" s="150"/>
      <c r="K177" s="217"/>
      <c r="L177" s="176" t="n">
        <f aca="false">IF(AND(A178&lt;&gt;"",A177=""),L176+1,L176)</f>
        <v>22</v>
      </c>
      <c r="M177" s="101" t="str">
        <f aca="false">IF(OR(A177="Insumo",A177="Composição Auxiliar"),J177,"")</f>
        <v/>
      </c>
      <c r="N177" s="102" t="str">
        <f aca="false">IF(E177="Mão de Obra",J177,"")</f>
        <v/>
      </c>
      <c r="O177" s="102" t="str">
        <f aca="false">IF(N177&lt;&gt;"","",M177)</f>
        <v/>
      </c>
      <c r="P177" s="103" t="str">
        <f aca="false">IF(A177="Composição",B177,"")</f>
        <v/>
      </c>
      <c r="Q177" s="102" t="str">
        <f aca="false">IF(P177&lt;&gt;"",SUMIF(L177:L277,L177,N177:N277),"")</f>
        <v/>
      </c>
      <c r="R177" s="102" t="str">
        <f aca="false">IF(P177&lt;&gt;"",SUMIF(L177:L277,L177,O177:O277),"")</f>
        <v/>
      </c>
    </row>
    <row r="178" customFormat="false" ht="14.5" hidden="false" customHeight="false" outlineLevel="0" collapsed="false">
      <c r="A178" s="149"/>
      <c r="B178" s="149"/>
      <c r="C178" s="149"/>
      <c r="D178" s="149"/>
      <c r="E178" s="149"/>
      <c r="F178" s="150"/>
      <c r="G178" s="149"/>
      <c r="H178" s="151"/>
      <c r="I178" s="151"/>
      <c r="J178" s="150"/>
      <c r="K178" s="217"/>
      <c r="L178" s="176" t="n">
        <f aca="false">IF(AND(A179&lt;&gt;"",A178=""),L177+1,L177)</f>
        <v>22</v>
      </c>
      <c r="M178" s="101" t="str">
        <f aca="false">IF(OR(A178="Insumo",A178="Composição Auxiliar"),J178,"")</f>
        <v/>
      </c>
      <c r="N178" s="102" t="str">
        <f aca="false">IF(E178="Mão de Obra",J178,"")</f>
        <v/>
      </c>
      <c r="O178" s="102" t="str">
        <f aca="false">IF(N178&lt;&gt;"","",M178)</f>
        <v/>
      </c>
      <c r="P178" s="103" t="str">
        <f aca="false">IF(A178="Composição",B178,"")</f>
        <v/>
      </c>
      <c r="Q178" s="102" t="str">
        <f aca="false">IF(P178&lt;&gt;"",SUMIF(L178:L278,L178,N178:N278),"")</f>
        <v/>
      </c>
      <c r="R178" s="102" t="str">
        <f aca="false">IF(P178&lt;&gt;"",SUMIF(L178:L278,L178,O178:O278),"")</f>
        <v/>
      </c>
    </row>
    <row r="179" customFormat="false" ht="14.5" hidden="false" customHeight="false" outlineLevel="0" collapsed="false">
      <c r="A179" s="155"/>
      <c r="B179" s="155"/>
      <c r="C179" s="155"/>
      <c r="D179" s="155"/>
      <c r="E179" s="155"/>
      <c r="F179" s="155"/>
      <c r="G179" s="155"/>
      <c r="H179" s="155"/>
      <c r="I179" s="155"/>
      <c r="J179" s="155"/>
      <c r="K179" s="217"/>
      <c r="L179" s="176" t="n">
        <f aca="false">IF(AND(A180&lt;&gt;"",A179=""),L178+1,L178)</f>
        <v>22</v>
      </c>
      <c r="M179" s="101" t="str">
        <f aca="false">IF(OR(A179="Insumo",A179="Composição Auxiliar"),J179,"")</f>
        <v/>
      </c>
      <c r="N179" s="102" t="str">
        <f aca="false">IF(E179="Mão de Obra",J179,"")</f>
        <v/>
      </c>
      <c r="O179" s="102" t="str">
        <f aca="false">IF(N179&lt;&gt;"","",M179)</f>
        <v/>
      </c>
      <c r="P179" s="103" t="str">
        <f aca="false">IF(A179="Composição",B179,"")</f>
        <v/>
      </c>
      <c r="Q179" s="102" t="str">
        <f aca="false">IF(P179&lt;&gt;"",SUMIF(L179:L279,L179,N179:N279),"")</f>
        <v/>
      </c>
      <c r="R179" s="102" t="str">
        <f aca="false">IF(P179&lt;&gt;"",SUMIF(L179:L279,L179,O179:O279),"")</f>
        <v/>
      </c>
    </row>
    <row r="180" customFormat="false" ht="14" hidden="false" customHeight="true" outlineLevel="0" collapsed="false">
      <c r="A180" s="118"/>
      <c r="B180" s="119" t="s">
        <v>115</v>
      </c>
      <c r="C180" s="118" t="s">
        <v>116</v>
      </c>
      <c r="D180" s="118" t="s">
        <v>117</v>
      </c>
      <c r="E180" s="118" t="s">
        <v>118</v>
      </c>
      <c r="F180" s="118"/>
      <c r="G180" s="120" t="s">
        <v>119</v>
      </c>
      <c r="H180" s="119" t="s">
        <v>120</v>
      </c>
      <c r="I180" s="119" t="s">
        <v>130</v>
      </c>
      <c r="J180" s="119" t="s">
        <v>131</v>
      </c>
      <c r="K180" s="217"/>
      <c r="L180" s="176" t="n">
        <f aca="false">IF(AND(A181&lt;&gt;"",A180=""),L179+1,L179)</f>
        <v>23</v>
      </c>
      <c r="M180" s="101" t="str">
        <f aca="false">IF(OR(A180="Insumo",A180="Composição Auxiliar"),J180,"")</f>
        <v/>
      </c>
      <c r="N180" s="102" t="str">
        <f aca="false">IF(E180="Mão de Obra",J180,"")</f>
        <v/>
      </c>
      <c r="O180" s="102" t="str">
        <f aca="false">IF(N180&lt;&gt;"","",M180)</f>
        <v/>
      </c>
      <c r="P180" s="103" t="str">
        <f aca="false">IF(A180="Composição",B180,"")</f>
        <v/>
      </c>
      <c r="Q180" s="102" t="str">
        <f aca="false">IF(P180&lt;&gt;"",SUMIF(L180:L280,L180,N180:N280),"")</f>
        <v/>
      </c>
      <c r="R180" s="102" t="str">
        <f aca="false">IF(P180&lt;&gt;"",SUMIF(L180:L280,L180,O180:O280),"")</f>
        <v/>
      </c>
    </row>
    <row r="181" customFormat="false" ht="25" hidden="false" customHeight="true" outlineLevel="0" collapsed="false">
      <c r="A181" s="122" t="s">
        <v>121</v>
      </c>
      <c r="B181" s="55" t="s">
        <v>307</v>
      </c>
      <c r="C181" s="122" t="s">
        <v>122</v>
      </c>
      <c r="D181" s="122" t="s">
        <v>308</v>
      </c>
      <c r="E181" s="122" t="s">
        <v>124</v>
      </c>
      <c r="F181" s="122"/>
      <c r="G181" s="123" t="s">
        <v>125</v>
      </c>
      <c r="H181" s="124" t="n">
        <v>1</v>
      </c>
      <c r="I181" s="125" t="n">
        <f aca="false">SUMIF(L:L,$L181,M:M)</f>
        <v>0.35</v>
      </c>
      <c r="J181" s="125" t="n">
        <f aca="false">TRUNC(H181*I181,2)</f>
        <v>0.35</v>
      </c>
      <c r="K181" s="217"/>
      <c r="L181" s="176" t="n">
        <f aca="false">IF(AND(A182&lt;&gt;"",A181=""),L180+1,L180)</f>
        <v>23</v>
      </c>
      <c r="M181" s="101" t="str">
        <f aca="false">IF(OR(A181="Insumo",A181="Composição Auxiliar"),J181,"")</f>
        <v/>
      </c>
      <c r="N181" s="102" t="str">
        <f aca="false">IF(E181="Mão de Obra",J181,"")</f>
        <v/>
      </c>
      <c r="O181" s="102" t="str">
        <f aca="false">IF(N181&lt;&gt;"","",M181)</f>
        <v/>
      </c>
      <c r="P181" s="103" t="str">
        <f aca="false">IF(A181="Composição",B181,"")</f>
        <v> 95371 </v>
      </c>
      <c r="Q181" s="102" t="n">
        <f aca="false">IF(P181&lt;&gt;"",SUMIF(L181:L281,L181,N181:N281),"")</f>
        <v>0.35</v>
      </c>
      <c r="R181" s="102" t="n">
        <f aca="false">IF(P181&lt;&gt;"",SUMIF(L181:L281,L181,O181:O281),"")</f>
        <v>0</v>
      </c>
    </row>
    <row r="182" customFormat="false" ht="14" hidden="false" customHeight="false" outlineLevel="0" collapsed="false">
      <c r="A182" s="143" t="s">
        <v>128</v>
      </c>
      <c r="B182" s="144" t="s">
        <v>309</v>
      </c>
      <c r="C182" s="143" t="str">
        <f aca="false">VLOOKUP(B182,INSUMOS!$A:$I,2,0)</f>
        <v>SINAPI</v>
      </c>
      <c r="D182" s="143" t="str">
        <f aca="false">VLOOKUP(B182,INSUMOS!$A:$I,3,0)</f>
        <v>PEDREIRO (HORISTA)</v>
      </c>
      <c r="E182" s="143" t="str">
        <f aca="false">VLOOKUP(B182,INSUMOS!$A:$I,4,0)</f>
        <v>Mão de Obra</v>
      </c>
      <c r="F182" s="143"/>
      <c r="G182" s="145" t="str">
        <f aca="false">VLOOKUP(B182,INSUMOS!$A:$I,5,0)</f>
        <v>H</v>
      </c>
      <c r="H182" s="146" t="n">
        <v>0.0172</v>
      </c>
      <c r="I182" s="147" t="n">
        <f aca="false">VLOOKUP(B182,INSUMOS!$A:$I,8,0)</f>
        <v>20.55</v>
      </c>
      <c r="J182" s="147" t="n">
        <f aca="false">TRUNC(H182*I182,2)</f>
        <v>0.35</v>
      </c>
      <c r="K182" s="217"/>
      <c r="L182" s="176" t="n">
        <f aca="false">IF(AND(A183&lt;&gt;"",A182=""),L181+1,L181)</f>
        <v>23</v>
      </c>
      <c r="M182" s="101" t="n">
        <f aca="false">IF(OR(A182="Insumo",A182="Composição Auxiliar"),J182,"")</f>
        <v>0.35</v>
      </c>
      <c r="N182" s="102" t="n">
        <f aca="false">IF(E182="Mão de Obra",J182,"")</f>
        <v>0.35</v>
      </c>
      <c r="O182" s="102" t="str">
        <f aca="false">IF(N182&lt;&gt;"","",M182)</f>
        <v/>
      </c>
      <c r="P182" s="103" t="str">
        <f aca="false">IF(A182="Composição",B182,"")</f>
        <v/>
      </c>
      <c r="Q182" s="102" t="str">
        <f aca="false">IF(P182&lt;&gt;"",SUMIF(L182:L282,L182,N182:N282),"")</f>
        <v/>
      </c>
      <c r="R182" s="102" t="str">
        <f aca="false">IF(P182&lt;&gt;"",SUMIF(L182:L282,L182,O182:O282),"")</f>
        <v/>
      </c>
    </row>
    <row r="183" customFormat="false" ht="14" hidden="false" customHeight="false" outlineLevel="0" collapsed="false">
      <c r="A183" s="149"/>
      <c r="B183" s="149"/>
      <c r="C183" s="149"/>
      <c r="D183" s="149"/>
      <c r="E183" s="149"/>
      <c r="F183" s="150"/>
      <c r="G183" s="149"/>
      <c r="H183" s="150"/>
      <c r="I183" s="149"/>
      <c r="J183" s="150"/>
      <c r="K183" s="217"/>
      <c r="L183" s="176" t="n">
        <f aca="false">IF(AND(A184&lt;&gt;"",A183=""),L182+1,L182)</f>
        <v>23</v>
      </c>
      <c r="M183" s="101" t="str">
        <f aca="false">IF(OR(A183="Insumo",A183="Composição Auxiliar"),J183,"")</f>
        <v/>
      </c>
      <c r="N183" s="102" t="str">
        <f aca="false">IF(E183="Mão de Obra",J183,"")</f>
        <v/>
      </c>
      <c r="O183" s="102" t="str">
        <f aca="false">IF(N183&lt;&gt;"","",M183)</f>
        <v/>
      </c>
      <c r="P183" s="103" t="str">
        <f aca="false">IF(A183="Composição",B183,"")</f>
        <v/>
      </c>
      <c r="Q183" s="102" t="str">
        <f aca="false">IF(P183&lt;&gt;"",SUMIF(L183:L283,L183,N183:N283),"")</f>
        <v/>
      </c>
      <c r="R183" s="102" t="str">
        <f aca="false">IF(P183&lt;&gt;"",SUMIF(L183:L283,L183,O183:O283),"")</f>
        <v/>
      </c>
    </row>
    <row r="184" customFormat="false" ht="14.5" hidden="false" customHeight="false" outlineLevel="0" collapsed="false">
      <c r="A184" s="149"/>
      <c r="B184" s="149"/>
      <c r="C184" s="149"/>
      <c r="D184" s="149"/>
      <c r="E184" s="149"/>
      <c r="F184" s="150"/>
      <c r="G184" s="149"/>
      <c r="H184" s="151"/>
      <c r="I184" s="151"/>
      <c r="J184" s="150"/>
      <c r="K184" s="217"/>
      <c r="L184" s="176" t="n">
        <f aca="false">IF(AND(A185&lt;&gt;"",A184=""),L183+1,L183)</f>
        <v>23</v>
      </c>
      <c r="M184" s="101" t="str">
        <f aca="false">IF(OR(A184="Insumo",A184="Composição Auxiliar"),J184,"")</f>
        <v/>
      </c>
      <c r="N184" s="102" t="str">
        <f aca="false">IF(E184="Mão de Obra",J184,"")</f>
        <v/>
      </c>
      <c r="O184" s="102" t="str">
        <f aca="false">IF(N184&lt;&gt;"","",M184)</f>
        <v/>
      </c>
      <c r="P184" s="103" t="str">
        <f aca="false">IF(A184="Composição",B184,"")</f>
        <v/>
      </c>
      <c r="Q184" s="102" t="str">
        <f aca="false">IF(P184&lt;&gt;"",SUMIF(L184:L284,L184,N184:N284),"")</f>
        <v/>
      </c>
      <c r="R184" s="102" t="str">
        <f aca="false">IF(P184&lt;&gt;"",SUMIF(L184:L284,L184,O184:O284),"")</f>
        <v/>
      </c>
    </row>
    <row r="185" customFormat="false" ht="14.5" hidden="false" customHeight="false" outlineLevel="0" collapsed="false">
      <c r="A185" s="155"/>
      <c r="B185" s="155"/>
      <c r="C185" s="155"/>
      <c r="D185" s="155"/>
      <c r="E185" s="155"/>
      <c r="F185" s="155"/>
      <c r="G185" s="155"/>
      <c r="H185" s="155"/>
      <c r="I185" s="155"/>
      <c r="J185" s="155"/>
      <c r="K185" s="217"/>
      <c r="L185" s="176" t="n">
        <f aca="false">IF(AND(A186&lt;&gt;"",A185=""),L184+1,L184)</f>
        <v>23</v>
      </c>
      <c r="M185" s="101" t="str">
        <f aca="false">IF(OR(A185="Insumo",A185="Composição Auxiliar"),J185,"")</f>
        <v/>
      </c>
      <c r="N185" s="102" t="str">
        <f aca="false">IF(E185="Mão de Obra",J185,"")</f>
        <v/>
      </c>
      <c r="O185" s="102" t="str">
        <f aca="false">IF(N185&lt;&gt;"","",M185)</f>
        <v/>
      </c>
      <c r="P185" s="103" t="str">
        <f aca="false">IF(A185="Composição",B185,"")</f>
        <v/>
      </c>
      <c r="Q185" s="102" t="str">
        <f aca="false">IF(P185&lt;&gt;"",SUMIF(L185:L285,L185,N185:N285),"")</f>
        <v/>
      </c>
      <c r="R185" s="102" t="str">
        <f aca="false">IF(P185&lt;&gt;"",SUMIF(L185:L285,L185,O185:O285),"")</f>
        <v/>
      </c>
    </row>
    <row r="186" customFormat="false" ht="14" hidden="false" customHeight="true" outlineLevel="0" collapsed="false">
      <c r="A186" s="118"/>
      <c r="B186" s="119" t="s">
        <v>115</v>
      </c>
      <c r="C186" s="118" t="s">
        <v>116</v>
      </c>
      <c r="D186" s="118" t="s">
        <v>117</v>
      </c>
      <c r="E186" s="118" t="s">
        <v>118</v>
      </c>
      <c r="F186" s="118"/>
      <c r="G186" s="120" t="s">
        <v>119</v>
      </c>
      <c r="H186" s="119" t="s">
        <v>120</v>
      </c>
      <c r="I186" s="119" t="s">
        <v>130</v>
      </c>
      <c r="J186" s="119" t="s">
        <v>131</v>
      </c>
      <c r="K186" s="217"/>
      <c r="L186" s="176" t="n">
        <f aca="false">IF(AND(A187&lt;&gt;"",A186=""),L185+1,L185)</f>
        <v>24</v>
      </c>
      <c r="M186" s="101" t="str">
        <f aca="false">IF(OR(A186="Insumo",A186="Composição Auxiliar"),J186,"")</f>
        <v/>
      </c>
      <c r="N186" s="102" t="str">
        <f aca="false">IF(E186="Mão de Obra",J186,"")</f>
        <v/>
      </c>
      <c r="O186" s="102" t="str">
        <f aca="false">IF(N186&lt;&gt;"","",M186)</f>
        <v/>
      </c>
      <c r="P186" s="103" t="str">
        <f aca="false">IF(A186="Composição",B186,"")</f>
        <v/>
      </c>
      <c r="Q186" s="102" t="str">
        <f aca="false">IF(P186&lt;&gt;"",SUMIF(L186:L286,L186,N186:N286),"")</f>
        <v/>
      </c>
      <c r="R186" s="102" t="str">
        <f aca="false">IF(P186&lt;&gt;"",SUMIF(L186:L286,L186,O186:O286),"")</f>
        <v/>
      </c>
    </row>
    <row r="187" customFormat="false" ht="25" hidden="false" customHeight="true" outlineLevel="0" collapsed="false">
      <c r="A187" s="122" t="s">
        <v>121</v>
      </c>
      <c r="B187" s="55" t="s">
        <v>310</v>
      </c>
      <c r="C187" s="122" t="s">
        <v>122</v>
      </c>
      <c r="D187" s="122" t="s">
        <v>311</v>
      </c>
      <c r="E187" s="122" t="s">
        <v>124</v>
      </c>
      <c r="F187" s="122"/>
      <c r="G187" s="123" t="s">
        <v>125</v>
      </c>
      <c r="H187" s="124" t="n">
        <v>1</v>
      </c>
      <c r="I187" s="125" t="n">
        <f aca="false">SUMIF(L:L,$L187,M:M)</f>
        <v>0.2</v>
      </c>
      <c r="J187" s="125" t="n">
        <f aca="false">TRUNC(H187*I187,2)</f>
        <v>0.2</v>
      </c>
      <c r="K187" s="217"/>
      <c r="L187" s="176" t="n">
        <f aca="false">IF(AND(A188&lt;&gt;"",A187=""),L186+1,L186)</f>
        <v>24</v>
      </c>
      <c r="M187" s="101" t="str">
        <f aca="false">IF(OR(A187="Insumo",A187="Composição Auxiliar"),J187,"")</f>
        <v/>
      </c>
      <c r="N187" s="102" t="str">
        <f aca="false">IF(E187="Mão de Obra",J187,"")</f>
        <v/>
      </c>
      <c r="O187" s="102" t="str">
        <f aca="false">IF(N187&lt;&gt;"","",M187)</f>
        <v/>
      </c>
      <c r="P187" s="103" t="str">
        <f aca="false">IF(A187="Composição",B187,"")</f>
        <v> 95378 </v>
      </c>
      <c r="Q187" s="102" t="n">
        <f aca="false">IF(P187&lt;&gt;"",SUMIF(L187:L287,L187,N187:N287),"")</f>
        <v>0.2</v>
      </c>
      <c r="R187" s="102" t="n">
        <f aca="false">IF(P187&lt;&gt;"",SUMIF(L187:L287,L187,O187:O287),"")</f>
        <v>0</v>
      </c>
    </row>
    <row r="188" customFormat="false" ht="14" hidden="false" customHeight="false" outlineLevel="0" collapsed="false">
      <c r="A188" s="143" t="s">
        <v>128</v>
      </c>
      <c r="B188" s="144" t="s">
        <v>312</v>
      </c>
      <c r="C188" s="143" t="str">
        <f aca="false">VLOOKUP(B188,INSUMOS!$A:$I,2,0)</f>
        <v>SINAPI</v>
      </c>
      <c r="D188" s="143" t="str">
        <f aca="false">VLOOKUP(B188,INSUMOS!$A:$I,3,0)</f>
        <v>SERVENTE DE OBRAS</v>
      </c>
      <c r="E188" s="143" t="str">
        <f aca="false">VLOOKUP(B188,INSUMOS!$A:$I,4,0)</f>
        <v>Mão de Obra</v>
      </c>
      <c r="F188" s="143"/>
      <c r="G188" s="145" t="str">
        <f aca="false">VLOOKUP(B188,INSUMOS!$A:$I,5,0)</f>
        <v>H</v>
      </c>
      <c r="H188" s="146" t="n">
        <v>0.0172</v>
      </c>
      <c r="I188" s="147" t="n">
        <f aca="false">VLOOKUP(B188,INSUMOS!$A:$I,8,0)</f>
        <v>12.1</v>
      </c>
      <c r="J188" s="147" t="n">
        <f aca="false">TRUNC(H188*I188,2)</f>
        <v>0.2</v>
      </c>
      <c r="K188" s="217"/>
      <c r="L188" s="176" t="n">
        <f aca="false">IF(AND(A189&lt;&gt;"",A188=""),L187+1,L187)</f>
        <v>24</v>
      </c>
      <c r="M188" s="101" t="n">
        <f aca="false">IF(OR(A188="Insumo",A188="Composição Auxiliar"),J188,"")</f>
        <v>0.2</v>
      </c>
      <c r="N188" s="102" t="n">
        <f aca="false">IF(E188="Mão de Obra",J188,"")</f>
        <v>0.2</v>
      </c>
      <c r="O188" s="102" t="str">
        <f aca="false">IF(N188&lt;&gt;"","",M188)</f>
        <v/>
      </c>
      <c r="P188" s="103" t="str">
        <f aca="false">IF(A188="Composição",B188,"")</f>
        <v/>
      </c>
      <c r="Q188" s="102" t="str">
        <f aca="false">IF(P188&lt;&gt;"",SUMIF(L188:L288,L188,N188:N288),"")</f>
        <v/>
      </c>
      <c r="R188" s="102" t="str">
        <f aca="false">IF(P188&lt;&gt;"",SUMIF(L188:L288,L188,O188:O288),"")</f>
        <v/>
      </c>
    </row>
    <row r="189" customFormat="false" ht="14" hidden="false" customHeight="false" outlineLevel="0" collapsed="false">
      <c r="A189" s="149"/>
      <c r="B189" s="149"/>
      <c r="C189" s="149"/>
      <c r="D189" s="149"/>
      <c r="E189" s="149"/>
      <c r="F189" s="150"/>
      <c r="G189" s="149"/>
      <c r="H189" s="150"/>
      <c r="I189" s="149"/>
      <c r="J189" s="150"/>
      <c r="K189" s="217"/>
      <c r="L189" s="176" t="n">
        <f aca="false">IF(AND(A190&lt;&gt;"",A189=""),L188+1,L188)</f>
        <v>24</v>
      </c>
      <c r="M189" s="101" t="str">
        <f aca="false">IF(OR(A189="Insumo",A189="Composição Auxiliar"),J189,"")</f>
        <v/>
      </c>
      <c r="N189" s="102" t="str">
        <f aca="false">IF(E189="Mão de Obra",J189,"")</f>
        <v/>
      </c>
      <c r="O189" s="102" t="str">
        <f aca="false">IF(N189&lt;&gt;"","",M189)</f>
        <v/>
      </c>
      <c r="P189" s="103" t="str">
        <f aca="false">IF(A189="Composição",B189,"")</f>
        <v/>
      </c>
      <c r="Q189" s="102" t="str">
        <f aca="false">IF(P189&lt;&gt;"",SUMIF(L189:L289,L189,N189:N289),"")</f>
        <v/>
      </c>
      <c r="R189" s="102" t="str">
        <f aca="false">IF(P189&lt;&gt;"",SUMIF(L189:L289,L189,O189:O289),"")</f>
        <v/>
      </c>
    </row>
    <row r="190" customFormat="false" ht="14.5" hidden="false" customHeight="false" outlineLevel="0" collapsed="false">
      <c r="A190" s="149"/>
      <c r="B190" s="149"/>
      <c r="C190" s="149"/>
      <c r="D190" s="149"/>
      <c r="E190" s="149"/>
      <c r="F190" s="150"/>
      <c r="G190" s="149"/>
      <c r="H190" s="151"/>
      <c r="I190" s="151"/>
      <c r="J190" s="150"/>
      <c r="K190" s="217"/>
      <c r="L190" s="176" t="n">
        <f aca="false">IF(AND(A191&lt;&gt;"",A190=""),L189+1,L189)</f>
        <v>24</v>
      </c>
      <c r="M190" s="101" t="str">
        <f aca="false">IF(OR(A190="Insumo",A190="Composição Auxiliar"),J190,"")</f>
        <v/>
      </c>
      <c r="N190" s="102" t="str">
        <f aca="false">IF(E190="Mão de Obra",J190,"")</f>
        <v/>
      </c>
      <c r="O190" s="102" t="str">
        <f aca="false">IF(N190&lt;&gt;"","",M190)</f>
        <v/>
      </c>
      <c r="P190" s="103" t="str">
        <f aca="false">IF(A190="Composição",B190,"")</f>
        <v/>
      </c>
      <c r="Q190" s="102" t="str">
        <f aca="false">IF(P190&lt;&gt;"",SUMIF(L190:L290,L190,N190:N290),"")</f>
        <v/>
      </c>
      <c r="R190" s="102" t="str">
        <f aca="false">IF(P190&lt;&gt;"",SUMIF(L190:L290,L190,O190:O290),"")</f>
        <v/>
      </c>
    </row>
    <row r="191" customFormat="false" ht="14.5" hidden="false" customHeight="false" outlineLevel="0" collapsed="false">
      <c r="A191" s="155"/>
      <c r="B191" s="155"/>
      <c r="C191" s="155"/>
      <c r="D191" s="155"/>
      <c r="E191" s="155"/>
      <c r="F191" s="155"/>
      <c r="G191" s="155"/>
      <c r="H191" s="155"/>
      <c r="I191" s="155"/>
      <c r="J191" s="155"/>
      <c r="K191" s="217"/>
      <c r="L191" s="176" t="n">
        <f aca="false">IF(AND(A192&lt;&gt;"",A191=""),L190+1,L190)</f>
        <v>24</v>
      </c>
      <c r="M191" s="101" t="str">
        <f aca="false">IF(OR(A191="Insumo",A191="Composição Auxiliar"),J191,"")</f>
        <v/>
      </c>
      <c r="N191" s="102" t="str">
        <f aca="false">IF(E191="Mão de Obra",J191,"")</f>
        <v/>
      </c>
      <c r="O191" s="102" t="str">
        <f aca="false">IF(N191&lt;&gt;"","",M191)</f>
        <v/>
      </c>
      <c r="P191" s="103" t="str">
        <f aca="false">IF(A191="Composição",B191,"")</f>
        <v/>
      </c>
      <c r="Q191" s="102" t="str">
        <f aca="false">IF(P191&lt;&gt;"",SUMIF(L191:L291,L191,N191:N291),"")</f>
        <v/>
      </c>
      <c r="R191" s="102" t="str">
        <f aca="false">IF(P191&lt;&gt;"",SUMIF(L191:L291,L191,O191:O291),"")</f>
        <v/>
      </c>
    </row>
    <row r="192" customFormat="false" ht="14.15" hidden="false" customHeight="true" outlineLevel="0" collapsed="false">
      <c r="A192" s="118"/>
      <c r="B192" s="119" t="s">
        <v>115</v>
      </c>
      <c r="C192" s="118" t="s">
        <v>116</v>
      </c>
      <c r="D192" s="118" t="s">
        <v>117</v>
      </c>
      <c r="E192" s="118" t="s">
        <v>118</v>
      </c>
      <c r="F192" s="118"/>
      <c r="G192" s="120" t="s">
        <v>119</v>
      </c>
      <c r="H192" s="119" t="s">
        <v>120</v>
      </c>
      <c r="I192" s="119" t="s">
        <v>130</v>
      </c>
      <c r="J192" s="119" t="s">
        <v>131</v>
      </c>
      <c r="K192" s="217"/>
      <c r="L192" s="176" t="n">
        <f aca="false">IF(AND(A193&lt;&gt;"",A192=""),L191+1,L191)</f>
        <v>25</v>
      </c>
      <c r="M192" s="101" t="str">
        <f aca="false">IF(OR(A192="Insumo",A192="Composição Auxiliar"),J192,"")</f>
        <v/>
      </c>
      <c r="N192" s="102" t="str">
        <f aca="false">IF(E192="Mão de Obra",J192,"")</f>
        <v/>
      </c>
      <c r="O192" s="102" t="str">
        <f aca="false">IF(N192&lt;&gt;"","",M192)</f>
        <v/>
      </c>
      <c r="P192" s="103" t="str">
        <f aca="false">IF(A192="Composição",B192,"")</f>
        <v/>
      </c>
      <c r="Q192" s="102" t="str">
        <f aca="false">IF(P192&lt;&gt;"",SUMIF(L192:L292,L192,N192:N292),"")</f>
        <v/>
      </c>
      <c r="R192" s="102" t="str">
        <f aca="false">IF(P192&lt;&gt;"",SUMIF(L192:L292,L192,O192:O292),"")</f>
        <v/>
      </c>
    </row>
    <row r="193" customFormat="false" ht="14" hidden="false" customHeight="true" outlineLevel="0" collapsed="false">
      <c r="A193" s="122" t="s">
        <v>121</v>
      </c>
      <c r="B193" s="55" t="s">
        <v>173</v>
      </c>
      <c r="C193" s="122" t="s">
        <v>122</v>
      </c>
      <c r="D193" s="122" t="s">
        <v>174</v>
      </c>
      <c r="E193" s="122" t="s">
        <v>124</v>
      </c>
      <c r="F193" s="122"/>
      <c r="G193" s="123" t="s">
        <v>125</v>
      </c>
      <c r="H193" s="124" t="n">
        <v>1</v>
      </c>
      <c r="I193" s="125" t="n">
        <f aca="false">SUMIF(L:L,$L193,M:M)</f>
        <v>17.04</v>
      </c>
      <c r="J193" s="125" t="n">
        <f aca="false">TRUNC(H193*I193,2)</f>
        <v>17.04</v>
      </c>
      <c r="K193" s="217"/>
      <c r="L193" s="176" t="n">
        <f aca="false">IF(AND(A194&lt;&gt;"",A193=""),L192+1,L192)</f>
        <v>25</v>
      </c>
      <c r="M193" s="101" t="str">
        <f aca="false">IF(OR(A193="Insumo",A193="Composição Auxiliar"),J193,"")</f>
        <v/>
      </c>
      <c r="N193" s="102" t="str">
        <f aca="false">IF(E193="Mão de Obra",J193,"")</f>
        <v/>
      </c>
      <c r="O193" s="102" t="str">
        <f aca="false">IF(N193&lt;&gt;"","",M193)</f>
        <v/>
      </c>
      <c r="P193" s="103" t="str">
        <f aca="false">IF(A193="Composição",B193,"")</f>
        <v> 90775 </v>
      </c>
      <c r="Q193" s="102" t="n">
        <f aca="false">IF(P193&lt;&gt;"",SUMIF(L193:L293,L193,N193:N293),"")</f>
        <v>15.42</v>
      </c>
      <c r="R193" s="102" t="n">
        <f aca="false">IF(P193&lt;&gt;"",SUMIF(L193:L293,L193,O193:O293),"")</f>
        <v>1.62</v>
      </c>
    </row>
    <row r="194" customFormat="false" ht="25" hidden="false" customHeight="true" outlineLevel="0" collapsed="false">
      <c r="A194" s="129" t="s">
        <v>126</v>
      </c>
      <c r="B194" s="130" t="s">
        <v>286</v>
      </c>
      <c r="C194" s="129" t="s">
        <v>122</v>
      </c>
      <c r="D194" s="129" t="s">
        <v>287</v>
      </c>
      <c r="E194" s="129" t="s">
        <v>124</v>
      </c>
      <c r="F194" s="129"/>
      <c r="G194" s="131" t="s">
        <v>125</v>
      </c>
      <c r="H194" s="132" t="n">
        <v>1</v>
      </c>
      <c r="I194" s="133" t="n">
        <f aca="false">SUMIFS(J:J,A:A,"Composição",B:B,$B194)</f>
        <v>0.06</v>
      </c>
      <c r="J194" s="133" t="n">
        <f aca="false">TRUNC(H194*I194,2)</f>
        <v>0.06</v>
      </c>
      <c r="K194" s="217"/>
      <c r="L194" s="176" t="n">
        <f aca="false">IF(AND(A195&lt;&gt;"",A194=""),L193+1,L193)</f>
        <v>25</v>
      </c>
      <c r="M194" s="101" t="n">
        <f aca="false">IF(OR(A194="Insumo",A194="Composição Auxiliar"),J194,"")</f>
        <v>0.06</v>
      </c>
      <c r="N194" s="102" t="str">
        <f aca="false">IF(E194="Mão de Obra",J194,"")</f>
        <v/>
      </c>
      <c r="O194" s="102" t="n">
        <f aca="false">IF(N194&lt;&gt;"","",M194)</f>
        <v>0.06</v>
      </c>
      <c r="P194" s="103" t="str">
        <f aca="false">IF(A194="Composição",B194,"")</f>
        <v/>
      </c>
      <c r="Q194" s="102" t="str">
        <f aca="false">IF(P194&lt;&gt;"",SUMIF(L194:L294,L194,N194:N294),"")</f>
        <v/>
      </c>
      <c r="R194" s="102" t="str">
        <f aca="false">IF(P194&lt;&gt;"",SUMIF(L194:L294,L194,O194:O294),"")</f>
        <v/>
      </c>
    </row>
    <row r="195" customFormat="false" ht="14" hidden="false" customHeight="false" outlineLevel="0" collapsed="false">
      <c r="A195" s="143" t="s">
        <v>128</v>
      </c>
      <c r="B195" s="144" t="s">
        <v>288</v>
      </c>
      <c r="C195" s="143" t="str">
        <f aca="false">VLOOKUP(B195,INSUMOS!$A:$I,2,0)</f>
        <v>SINAPI</v>
      </c>
      <c r="D195" s="143" t="str">
        <f aca="false">VLOOKUP(B195,INSUMOS!$A:$I,3,0)</f>
        <v>DESENHISTA PROJETISTA</v>
      </c>
      <c r="E195" s="143" t="str">
        <f aca="false">VLOOKUP(B195,INSUMOS!$A:$I,4,0)</f>
        <v>Mão de Obra</v>
      </c>
      <c r="F195" s="143"/>
      <c r="G195" s="145" t="str">
        <f aca="false">VLOOKUP(B195,INSUMOS!$A:$I,5,0)</f>
        <v>H</v>
      </c>
      <c r="H195" s="146" t="n">
        <v>1</v>
      </c>
      <c r="I195" s="147" t="n">
        <f aca="false">VLOOKUP(B195,INSUMOS!$A:$I,8,0)</f>
        <v>15.42</v>
      </c>
      <c r="J195" s="147" t="n">
        <f aca="false">TRUNC(H195*I195,2)</f>
        <v>15.42</v>
      </c>
      <c r="K195" s="217"/>
      <c r="L195" s="176" t="n">
        <f aca="false">IF(AND(A196&lt;&gt;"",A195=""),L194+1,L194)</f>
        <v>25</v>
      </c>
      <c r="M195" s="101" t="n">
        <f aca="false">IF(OR(A195="Insumo",A195="Composição Auxiliar"),J195,"")</f>
        <v>15.42</v>
      </c>
      <c r="N195" s="102" t="n">
        <f aca="false">IF(E195="Mão de Obra",J195,"")</f>
        <v>15.42</v>
      </c>
      <c r="O195" s="102" t="str">
        <f aca="false">IF(N195&lt;&gt;"","",M195)</f>
        <v/>
      </c>
      <c r="P195" s="103" t="str">
        <f aca="false">IF(A195="Composição",B195,"")</f>
        <v/>
      </c>
      <c r="Q195" s="102" t="str">
        <f aca="false">IF(P195&lt;&gt;"",SUMIF(L195:L295,L195,N195:N295),"")</f>
        <v/>
      </c>
      <c r="R195" s="102" t="str">
        <f aca="false">IF(P195&lt;&gt;"",SUMIF(L195:L295,L195,O195:O295),"")</f>
        <v/>
      </c>
    </row>
    <row r="196" customFormat="false" ht="25" hidden="false" customHeight="false" outlineLevel="0" collapsed="false">
      <c r="A196" s="143" t="s">
        <v>128</v>
      </c>
      <c r="B196" s="144" t="s">
        <v>313</v>
      </c>
      <c r="C196" s="143" t="str">
        <f aca="false">VLOOKUP(B196,INSUMOS!$A:$I,2,0)</f>
        <v>SINAPI</v>
      </c>
      <c r="D196" s="143" t="str">
        <f aca="false">VLOOKUP(B196,INSUMOS!$A:$I,3,0)</f>
        <v>EPI - FAMILIA TOPOGRAFO - HORISTA (ENCARGOS COMPLEMENTARES - COLETADO CAIXA)</v>
      </c>
      <c r="E196" s="143" t="str">
        <f aca="false">VLOOKUP(B196,INSUMOS!$A:$I,4,0)</f>
        <v>Equipamento</v>
      </c>
      <c r="F196" s="143"/>
      <c r="G196" s="145" t="str">
        <f aca="false">VLOOKUP(B196,INSUMOS!$A:$I,5,0)</f>
        <v>H</v>
      </c>
      <c r="H196" s="146" t="n">
        <v>1</v>
      </c>
      <c r="I196" s="147" t="n">
        <f aca="false">VLOOKUP(B196,INSUMOS!$A:$I,8,0)</f>
        <v>0.62</v>
      </c>
      <c r="J196" s="147" t="n">
        <f aca="false">TRUNC(H196*I196,2)</f>
        <v>0.62</v>
      </c>
      <c r="K196" s="217"/>
      <c r="L196" s="176" t="n">
        <f aca="false">IF(AND(A197&lt;&gt;"",A196=""),L195+1,L195)</f>
        <v>25</v>
      </c>
      <c r="M196" s="101" t="n">
        <f aca="false">IF(OR(A196="Insumo",A196="Composição Auxiliar"),J196,"")</f>
        <v>0.62</v>
      </c>
      <c r="N196" s="102" t="str">
        <f aca="false">IF(E196="Mão de Obra",J196,"")</f>
        <v/>
      </c>
      <c r="O196" s="102" t="n">
        <f aca="false">IF(N196&lt;&gt;"","",M196)</f>
        <v>0.62</v>
      </c>
      <c r="P196" s="103" t="str">
        <f aca="false">IF(A196="Composição",B196,"")</f>
        <v/>
      </c>
      <c r="Q196" s="102" t="str">
        <f aca="false">IF(P196&lt;&gt;"",SUMIF(L196:L296,L196,N196:N296),"")</f>
        <v/>
      </c>
      <c r="R196" s="102" t="str">
        <f aca="false">IF(P196&lt;&gt;"",SUMIF(L196:L296,L196,O196:O296),"")</f>
        <v/>
      </c>
    </row>
    <row r="197" customFormat="false" ht="25" hidden="false" customHeight="true" outlineLevel="0" collapsed="false">
      <c r="A197" s="143" t="s">
        <v>128</v>
      </c>
      <c r="B197" s="144" t="s">
        <v>314</v>
      </c>
      <c r="C197" s="143" t="str">
        <f aca="false">VLOOKUP(B197,INSUMOS!$A:$I,2,0)</f>
        <v>SINAPI</v>
      </c>
      <c r="D197" s="143" t="str">
        <f aca="false">VLOOKUP(B197,INSUMOS!$A:$I,3,0)</f>
        <v>FERRAMENTAS - FAMILIA TOPOGRAFO - HORISTA (ENCARGOS COMPLEMENTARES - COLETADO CAIXA)</v>
      </c>
      <c r="E197" s="143" t="str">
        <f aca="false">VLOOKUP(B197,INSUMOS!$A:$I,4,0)</f>
        <v>Equipamento</v>
      </c>
      <c r="F197" s="143"/>
      <c r="G197" s="145" t="str">
        <f aca="false">VLOOKUP(B197,INSUMOS!$A:$I,5,0)</f>
        <v>H</v>
      </c>
      <c r="H197" s="146" t="n">
        <v>1</v>
      </c>
      <c r="I197" s="147" t="n">
        <f aca="false">VLOOKUP(B197,INSUMOS!$A:$I,8,0)</f>
        <v>0.07</v>
      </c>
      <c r="J197" s="147" t="n">
        <f aca="false">TRUNC(H197*I197,2)</f>
        <v>0.07</v>
      </c>
      <c r="K197" s="217"/>
      <c r="L197" s="176" t="n">
        <f aca="false">IF(AND(A198&lt;&gt;"",A197=""),L196+1,L196)</f>
        <v>25</v>
      </c>
      <c r="M197" s="101" t="n">
        <f aca="false">IF(OR(A197="Insumo",A197="Composição Auxiliar"),J197,"")</f>
        <v>0.07</v>
      </c>
      <c r="N197" s="102" t="str">
        <f aca="false">IF(E197="Mão de Obra",J197,"")</f>
        <v/>
      </c>
      <c r="O197" s="102" t="n">
        <f aca="false">IF(N197&lt;&gt;"","",M197)</f>
        <v>0.07</v>
      </c>
      <c r="P197" s="103" t="str">
        <f aca="false">IF(A197="Composição",B197,"")</f>
        <v/>
      </c>
      <c r="Q197" s="102" t="str">
        <f aca="false">IF(P197&lt;&gt;"",SUMIF(L197:L297,L197,N197:N297),"")</f>
        <v/>
      </c>
      <c r="R197" s="102" t="str">
        <f aca="false">IF(P197&lt;&gt;"",SUMIF(L197:L297,L197,O197:O297),"")</f>
        <v/>
      </c>
    </row>
    <row r="198" customFormat="false" ht="14" hidden="false" customHeight="false" outlineLevel="0" collapsed="false">
      <c r="A198" s="143" t="s">
        <v>128</v>
      </c>
      <c r="B198" s="144" t="s">
        <v>245</v>
      </c>
      <c r="C198" s="143" t="str">
        <f aca="false">VLOOKUP(B198,INSUMOS!$A:$I,2,0)</f>
        <v>SINAPI</v>
      </c>
      <c r="D198" s="143" t="str">
        <f aca="false">VLOOKUP(B198,INSUMOS!$A:$I,3,0)</f>
        <v>EXAMES - HORISTA (COLETADO CAIXA)</v>
      </c>
      <c r="E198" s="143" t="str">
        <f aca="false">VLOOKUP(B198,INSUMOS!$A:$I,4,0)</f>
        <v>Outros</v>
      </c>
      <c r="F198" s="143"/>
      <c r="G198" s="145" t="str">
        <f aca="false">VLOOKUP(B198,INSUMOS!$A:$I,5,0)</f>
        <v>H</v>
      </c>
      <c r="H198" s="146" t="n">
        <v>1</v>
      </c>
      <c r="I198" s="147" t="n">
        <f aca="false">VLOOKUP(B198,INSUMOS!$A:$I,8,0)</f>
        <v>0.81</v>
      </c>
      <c r="J198" s="147" t="n">
        <f aca="false">TRUNC(H198*I198,2)</f>
        <v>0.81</v>
      </c>
      <c r="K198" s="217"/>
      <c r="L198" s="176" t="n">
        <f aca="false">IF(AND(A199&lt;&gt;"",A198=""),L197+1,L197)</f>
        <v>25</v>
      </c>
      <c r="M198" s="101" t="n">
        <f aca="false">IF(OR(A198="Insumo",A198="Composição Auxiliar"),J198,"")</f>
        <v>0.81</v>
      </c>
      <c r="N198" s="102" t="str">
        <f aca="false">IF(E198="Mão de Obra",J198,"")</f>
        <v/>
      </c>
      <c r="O198" s="102" t="n">
        <f aca="false">IF(N198&lt;&gt;"","",M198)</f>
        <v>0.81</v>
      </c>
      <c r="P198" s="103" t="str">
        <f aca="false">IF(A198="Composição",B198,"")</f>
        <v/>
      </c>
      <c r="Q198" s="102" t="str">
        <f aca="false">IF(P198&lt;&gt;"",SUMIF(L198:L298,L198,N198:N298),"")</f>
        <v/>
      </c>
      <c r="R198" s="102" t="str">
        <f aca="false">IF(P198&lt;&gt;"",SUMIF(L198:L298,L198,O198:O298),"")</f>
        <v/>
      </c>
    </row>
    <row r="199" customFormat="false" ht="25" hidden="false" customHeight="true" outlineLevel="0" collapsed="false">
      <c r="A199" s="143" t="s">
        <v>128</v>
      </c>
      <c r="B199" s="144" t="s">
        <v>247</v>
      </c>
      <c r="C199" s="143" t="str">
        <f aca="false">VLOOKUP(B199,INSUMOS!$A:$I,2,0)</f>
        <v>SINAPI</v>
      </c>
      <c r="D199" s="143" t="str">
        <f aca="false">VLOOKUP(B199,INSUMOS!$A:$I,3,0)</f>
        <v>SEGURO - HORISTA (COLETADO CAIXA)</v>
      </c>
      <c r="E199" s="143" t="str">
        <f aca="false">VLOOKUP(B199,INSUMOS!$A:$I,4,0)</f>
        <v>Taxas</v>
      </c>
      <c r="F199" s="143"/>
      <c r="G199" s="145" t="str">
        <f aca="false">VLOOKUP(B199,INSUMOS!$A:$I,5,0)</f>
        <v>H</v>
      </c>
      <c r="H199" s="146" t="n">
        <v>1</v>
      </c>
      <c r="I199" s="147" t="n">
        <f aca="false">VLOOKUP(B199,INSUMOS!$A:$I,8,0)</f>
        <v>0.06</v>
      </c>
      <c r="J199" s="147" t="n">
        <f aca="false">TRUNC(H199*I199,2)</f>
        <v>0.06</v>
      </c>
      <c r="K199" s="217"/>
      <c r="L199" s="176" t="n">
        <f aca="false">IF(AND(A200&lt;&gt;"",A199=""),L198+1,L198)</f>
        <v>25</v>
      </c>
      <c r="M199" s="101" t="n">
        <f aca="false">IF(OR(A199="Insumo",A199="Composição Auxiliar"),J199,"")</f>
        <v>0.06</v>
      </c>
      <c r="N199" s="102" t="str">
        <f aca="false">IF(E199="Mão de Obra",J199,"")</f>
        <v/>
      </c>
      <c r="O199" s="102" t="n">
        <f aca="false">IF(N199&lt;&gt;"","",M199)</f>
        <v>0.06</v>
      </c>
      <c r="P199" s="103" t="str">
        <f aca="false">IF(A199="Composição",B199,"")</f>
        <v/>
      </c>
      <c r="Q199" s="102" t="str">
        <f aca="false">IF(P199&lt;&gt;"",SUMIF(L199:L299,L199,N199:N299),"")</f>
        <v/>
      </c>
      <c r="R199" s="102" t="str">
        <f aca="false">IF(P199&lt;&gt;"",SUMIF(L199:L299,L199,O199:O299),"")</f>
        <v/>
      </c>
    </row>
    <row r="200" customFormat="false" ht="25" hidden="false" customHeight="true" outlineLevel="0" collapsed="false">
      <c r="A200" s="149"/>
      <c r="B200" s="149"/>
      <c r="C200" s="149"/>
      <c r="D200" s="149"/>
      <c r="E200" s="149"/>
      <c r="F200" s="150"/>
      <c r="G200" s="149"/>
      <c r="H200" s="150"/>
      <c r="I200" s="149"/>
      <c r="J200" s="150"/>
      <c r="K200" s="217"/>
      <c r="L200" s="176" t="n">
        <f aca="false">IF(AND(A201&lt;&gt;"",A200=""),L199+1,L199)</f>
        <v>25</v>
      </c>
      <c r="M200" s="101" t="str">
        <f aca="false">IF(OR(A200="Insumo",A200="Composição Auxiliar"),J200,"")</f>
        <v/>
      </c>
      <c r="N200" s="102" t="str">
        <f aca="false">IF(E200="Mão de Obra",J200,"")</f>
        <v/>
      </c>
      <c r="O200" s="102" t="str">
        <f aca="false">IF(N200&lt;&gt;"","",M200)</f>
        <v/>
      </c>
      <c r="P200" s="103" t="str">
        <f aca="false">IF(A200="Composição",B200,"")</f>
        <v/>
      </c>
      <c r="Q200" s="102" t="str">
        <f aca="false">IF(P200&lt;&gt;"",SUMIF(L200:L300,L200,N200:N300),"")</f>
        <v/>
      </c>
      <c r="R200" s="102" t="str">
        <f aca="false">IF(P200&lt;&gt;"",SUMIF(L200:L300,L200,O200:O300),"")</f>
        <v/>
      </c>
    </row>
    <row r="201" customFormat="false" ht="14.5" hidden="false" customHeight="false" outlineLevel="0" collapsed="false">
      <c r="A201" s="149"/>
      <c r="B201" s="149"/>
      <c r="C201" s="149"/>
      <c r="D201" s="149"/>
      <c r="E201" s="149"/>
      <c r="F201" s="150"/>
      <c r="G201" s="149"/>
      <c r="H201" s="151"/>
      <c r="I201" s="151"/>
      <c r="J201" s="150"/>
      <c r="K201" s="217"/>
      <c r="L201" s="176" t="n">
        <f aca="false">IF(AND(A202&lt;&gt;"",A201=""),L200+1,L200)</f>
        <v>25</v>
      </c>
      <c r="M201" s="101" t="str">
        <f aca="false">IF(OR(A201="Insumo",A201="Composição Auxiliar"),J201,"")</f>
        <v/>
      </c>
      <c r="N201" s="102" t="str">
        <f aca="false">IF(E201="Mão de Obra",J201,"")</f>
        <v/>
      </c>
      <c r="O201" s="102" t="str">
        <f aca="false">IF(N201&lt;&gt;"","",M201)</f>
        <v/>
      </c>
      <c r="P201" s="103" t="str">
        <f aca="false">IF(A201="Composição",B201,"")</f>
        <v/>
      </c>
      <c r="Q201" s="102" t="str">
        <f aca="false">IF(P201&lt;&gt;"",SUMIF(L201:L301,L201,N201:N301),"")</f>
        <v/>
      </c>
      <c r="R201" s="102" t="str">
        <f aca="false">IF(P201&lt;&gt;"",SUMIF(L201:L301,L201,O201:O301),"")</f>
        <v/>
      </c>
    </row>
    <row r="202" customFormat="false" ht="14.5" hidden="false" customHeight="false" outlineLevel="0" collapsed="false">
      <c r="A202" s="155"/>
      <c r="B202" s="155"/>
      <c r="C202" s="155"/>
      <c r="D202" s="155"/>
      <c r="E202" s="155"/>
      <c r="F202" s="155"/>
      <c r="G202" s="155"/>
      <c r="H202" s="155"/>
      <c r="I202" s="155"/>
      <c r="J202" s="155"/>
      <c r="K202" s="217"/>
      <c r="L202" s="176" t="n">
        <f aca="false">IF(AND(A203&lt;&gt;"",A202=""),L201+1,L201)</f>
        <v>25</v>
      </c>
      <c r="M202" s="101" t="str">
        <f aca="false">IF(OR(A202="Insumo",A202="Composição Auxiliar"),J202,"")</f>
        <v/>
      </c>
      <c r="N202" s="102" t="str">
        <f aca="false">IF(E202="Mão de Obra",J202,"")</f>
        <v/>
      </c>
      <c r="O202" s="102" t="str">
        <f aca="false">IF(N202&lt;&gt;"","",M202)</f>
        <v/>
      </c>
      <c r="P202" s="103" t="str">
        <f aca="false">IF(A202="Composição",B202,"")</f>
        <v/>
      </c>
      <c r="Q202" s="102" t="str">
        <f aca="false">IF(P202&lt;&gt;"",SUMIF(L202:L302,L202,N202:N302),"")</f>
        <v/>
      </c>
      <c r="R202" s="102" t="str">
        <f aca="false">IF(P202&lt;&gt;"",SUMIF(L202:L302,L202,O202:O302),"")</f>
        <v/>
      </c>
    </row>
    <row r="203" customFormat="false" ht="14" hidden="false" customHeight="true" outlineLevel="0" collapsed="false">
      <c r="A203" s="118"/>
      <c r="B203" s="119" t="s">
        <v>115</v>
      </c>
      <c r="C203" s="118" t="s">
        <v>116</v>
      </c>
      <c r="D203" s="118" t="s">
        <v>117</v>
      </c>
      <c r="E203" s="118" t="s">
        <v>118</v>
      </c>
      <c r="F203" s="118"/>
      <c r="G203" s="120" t="s">
        <v>119</v>
      </c>
      <c r="H203" s="119" t="s">
        <v>120</v>
      </c>
      <c r="I203" s="119" t="s">
        <v>130</v>
      </c>
      <c r="J203" s="119" t="s">
        <v>131</v>
      </c>
      <c r="K203" s="217"/>
      <c r="L203" s="176" t="n">
        <f aca="false">IF(AND(A204&lt;&gt;"",A203=""),L202+1,L202)</f>
        <v>26</v>
      </c>
      <c r="M203" s="101" t="str">
        <f aca="false">IF(OR(A203="Insumo",A203="Composição Auxiliar"),J203,"")</f>
        <v/>
      </c>
      <c r="N203" s="102" t="str">
        <f aca="false">IF(E203="Mão de Obra",J203,"")</f>
        <v/>
      </c>
      <c r="O203" s="102" t="str">
        <f aca="false">IF(N203&lt;&gt;"","",M203)</f>
        <v/>
      </c>
      <c r="P203" s="103" t="str">
        <f aca="false">IF(A203="Composição",B203,"")</f>
        <v/>
      </c>
      <c r="Q203" s="102" t="str">
        <f aca="false">IF(P203&lt;&gt;"",SUMIF(L203:L303,L203,N203:N303),"")</f>
        <v/>
      </c>
      <c r="R203" s="102" t="str">
        <f aca="false">IF(P203&lt;&gt;"",SUMIF(L203:L303,L203,O203:O303),"")</f>
        <v/>
      </c>
    </row>
    <row r="204" customFormat="false" ht="14" hidden="false" customHeight="true" outlineLevel="0" collapsed="false">
      <c r="A204" s="122" t="s">
        <v>121</v>
      </c>
      <c r="B204" s="55" t="s">
        <v>181</v>
      </c>
      <c r="C204" s="122" t="s">
        <v>122</v>
      </c>
      <c r="D204" s="122" t="s">
        <v>182</v>
      </c>
      <c r="E204" s="122" t="s">
        <v>124</v>
      </c>
      <c r="F204" s="122"/>
      <c r="G204" s="123" t="s">
        <v>125</v>
      </c>
      <c r="H204" s="124" t="n">
        <v>1</v>
      </c>
      <c r="I204" s="125" t="n">
        <f aca="false">SUMIF(L:L,$L204,M:M)</f>
        <v>26.75</v>
      </c>
      <c r="J204" s="125" t="n">
        <f aca="false">TRUNC(H204*I204,2)</f>
        <v>26.75</v>
      </c>
      <c r="K204" s="217"/>
      <c r="L204" s="176" t="n">
        <f aca="false">IF(AND(A205&lt;&gt;"",A204=""),L203+1,L203)</f>
        <v>26</v>
      </c>
      <c r="M204" s="101" t="str">
        <f aca="false">IF(OR(A204="Insumo",A204="Composição Auxiliar"),J204,"")</f>
        <v/>
      </c>
      <c r="N204" s="102" t="str">
        <f aca="false">IF(E204="Mão de Obra",J204,"")</f>
        <v/>
      </c>
      <c r="O204" s="102" t="str">
        <f aca="false">IF(N204&lt;&gt;"","",M204)</f>
        <v/>
      </c>
      <c r="P204" s="103" t="str">
        <f aca="false">IF(A204="Composição",B204,"")</f>
        <v> 88264 </v>
      </c>
      <c r="Q204" s="102" t="n">
        <f aca="false">IF(P204&lt;&gt;"",SUMIF(L204:L304,L204,N204:N304),"")</f>
        <v>20.55</v>
      </c>
      <c r="R204" s="102" t="n">
        <f aca="false">IF(P204&lt;&gt;"",SUMIF(L204:L304,L204,O204:O304),"")</f>
        <v>6.2</v>
      </c>
    </row>
    <row r="205" customFormat="false" ht="14.15" hidden="false" customHeight="true" outlineLevel="0" collapsed="false">
      <c r="A205" s="129" t="s">
        <v>126</v>
      </c>
      <c r="B205" s="130" t="s">
        <v>289</v>
      </c>
      <c r="C205" s="129" t="s">
        <v>122</v>
      </c>
      <c r="D205" s="129" t="s">
        <v>290</v>
      </c>
      <c r="E205" s="129" t="s">
        <v>124</v>
      </c>
      <c r="F205" s="129"/>
      <c r="G205" s="131" t="s">
        <v>125</v>
      </c>
      <c r="H205" s="132" t="n">
        <v>1</v>
      </c>
      <c r="I205" s="133" t="n">
        <f aca="false">SUMIFS(J:J,A:A,"Composição",B:B,$B205)</f>
        <v>0.62</v>
      </c>
      <c r="J205" s="133" t="n">
        <f aca="false">TRUNC(H205*I205,2)</f>
        <v>0.62</v>
      </c>
      <c r="K205" s="217"/>
      <c r="L205" s="176" t="n">
        <f aca="false">IF(AND(A206&lt;&gt;"",A205=""),L204+1,L204)</f>
        <v>26</v>
      </c>
      <c r="M205" s="101" t="n">
        <f aca="false">IF(OR(A205="Insumo",A205="Composição Auxiliar"),J205,"")</f>
        <v>0.62</v>
      </c>
      <c r="N205" s="102" t="str">
        <f aca="false">IF(E205="Mão de Obra",J205,"")</f>
        <v/>
      </c>
      <c r="O205" s="102" t="n">
        <f aca="false">IF(N205&lt;&gt;"","",M205)</f>
        <v>0.62</v>
      </c>
      <c r="P205" s="103" t="str">
        <f aca="false">IF(A205="Composição",B205,"")</f>
        <v/>
      </c>
      <c r="Q205" s="102" t="str">
        <f aca="false">IF(P205&lt;&gt;"",SUMIF(L205:L305,L205,N205:N305),"")</f>
        <v/>
      </c>
      <c r="R205" s="102" t="str">
        <f aca="false">IF(P205&lt;&gt;"",SUMIF(L205:L305,L205,O205:O305),"")</f>
        <v/>
      </c>
    </row>
    <row r="206" customFormat="false" ht="14" hidden="false" customHeight="false" outlineLevel="0" collapsed="false">
      <c r="A206" s="143" t="s">
        <v>128</v>
      </c>
      <c r="B206" s="144" t="s">
        <v>129</v>
      </c>
      <c r="C206" s="143" t="str">
        <f aca="false">VLOOKUP(B206,INSUMOS!$A:$I,2,0)</f>
        <v>SINAPI</v>
      </c>
      <c r="D206" s="143" t="str">
        <f aca="false">VLOOKUP(B206,INSUMOS!$A:$I,3,0)</f>
        <v>ALIMENTACAO - HORISTA (COLETADO CAIXA)</v>
      </c>
      <c r="E206" s="143" t="str">
        <f aca="false">VLOOKUP(B206,INSUMOS!$A:$I,4,0)</f>
        <v>Outros</v>
      </c>
      <c r="F206" s="143"/>
      <c r="G206" s="145" t="str">
        <f aca="false">VLOOKUP(B206,INSUMOS!$A:$I,5,0)</f>
        <v>H</v>
      </c>
      <c r="H206" s="146" t="n">
        <v>1</v>
      </c>
      <c r="I206" s="147" t="n">
        <f aca="false">VLOOKUP(B206,INSUMOS!$A:$I,8,0)</f>
        <v>2.11</v>
      </c>
      <c r="J206" s="147" t="n">
        <f aca="false">TRUNC(H206*I206,2)</f>
        <v>2.11</v>
      </c>
      <c r="K206" s="217"/>
      <c r="L206" s="176" t="n">
        <f aca="false">IF(AND(A207&lt;&gt;"",A206=""),L205+1,L205)</f>
        <v>26</v>
      </c>
      <c r="M206" s="101" t="n">
        <f aca="false">IF(OR(A206="Insumo",A206="Composição Auxiliar"),J206,"")</f>
        <v>2.11</v>
      </c>
      <c r="N206" s="102" t="str">
        <f aca="false">IF(E206="Mão de Obra",J206,"")</f>
        <v/>
      </c>
      <c r="O206" s="102" t="n">
        <f aca="false">IF(N206&lt;&gt;"","",M206)</f>
        <v>2.11</v>
      </c>
      <c r="P206" s="103" t="str">
        <f aca="false">IF(A206="Composição",B206,"")</f>
        <v/>
      </c>
      <c r="Q206" s="102" t="str">
        <f aca="false">IF(P206&lt;&gt;"",SUMIF(L206:L306,L206,N206:N306),"")</f>
        <v/>
      </c>
      <c r="R206" s="102" t="str">
        <f aca="false">IF(P206&lt;&gt;"",SUMIF(L206:L306,L206,O206:O306),"")</f>
        <v/>
      </c>
    </row>
    <row r="207" customFormat="false" ht="14" hidden="false" customHeight="false" outlineLevel="0" collapsed="false">
      <c r="A207" s="143" t="s">
        <v>128</v>
      </c>
      <c r="B207" s="144" t="s">
        <v>291</v>
      </c>
      <c r="C207" s="143" t="str">
        <f aca="false">VLOOKUP(B207,INSUMOS!$A:$I,2,0)</f>
        <v>SINAPI</v>
      </c>
      <c r="D207" s="143" t="str">
        <f aca="false">VLOOKUP(B207,INSUMOS!$A:$I,3,0)</f>
        <v>ELETRICISTA</v>
      </c>
      <c r="E207" s="143" t="str">
        <f aca="false">VLOOKUP(B207,INSUMOS!$A:$I,4,0)</f>
        <v>Mão de Obra</v>
      </c>
      <c r="F207" s="143"/>
      <c r="G207" s="145" t="str">
        <f aca="false">VLOOKUP(B207,INSUMOS!$A:$I,5,0)</f>
        <v>H</v>
      </c>
      <c r="H207" s="146" t="n">
        <v>1</v>
      </c>
      <c r="I207" s="147" t="n">
        <f aca="false">VLOOKUP(B207,INSUMOS!$A:$I,8,0)</f>
        <v>20.55</v>
      </c>
      <c r="J207" s="147" t="n">
        <f aca="false">TRUNC(H207*I207,2)</f>
        <v>20.55</v>
      </c>
      <c r="K207" s="217"/>
      <c r="L207" s="176" t="n">
        <f aca="false">IF(AND(A208&lt;&gt;"",A207=""),L206+1,L206)</f>
        <v>26</v>
      </c>
      <c r="M207" s="101" t="n">
        <f aca="false">IF(OR(A207="Insumo",A207="Composição Auxiliar"),J207,"")</f>
        <v>20.55</v>
      </c>
      <c r="N207" s="102" t="n">
        <f aca="false">IF(E207="Mão de Obra",J207,"")</f>
        <v>20.55</v>
      </c>
      <c r="O207" s="102" t="str">
        <f aca="false">IF(N207&lt;&gt;"","",M207)</f>
        <v/>
      </c>
      <c r="P207" s="103" t="str">
        <f aca="false">IF(A207="Composição",B207,"")</f>
        <v/>
      </c>
      <c r="Q207" s="102" t="str">
        <f aca="false">IF(P207&lt;&gt;"",SUMIF(L207:L307,L207,N207:N307),"")</f>
        <v/>
      </c>
      <c r="R207" s="102" t="str">
        <f aca="false">IF(P207&lt;&gt;"",SUMIF(L207:L307,L207,O207:O307),"")</f>
        <v/>
      </c>
    </row>
    <row r="208" customFormat="false" ht="25" hidden="false" customHeight="true" outlineLevel="0" collapsed="false">
      <c r="A208" s="143" t="s">
        <v>128</v>
      </c>
      <c r="B208" s="144" t="s">
        <v>253</v>
      </c>
      <c r="C208" s="143" t="str">
        <f aca="false">VLOOKUP(B208,INSUMOS!$A:$I,2,0)</f>
        <v>SINAPI</v>
      </c>
      <c r="D208" s="143" t="str">
        <f aca="false">VLOOKUP(B208,INSUMOS!$A:$I,3,0)</f>
        <v>EPI - FAMILIA ELETRICISTA - HORISTA (ENCARGOS COMPLEMENTARES - COLETADO CAIXA)</v>
      </c>
      <c r="E208" s="143" t="str">
        <f aca="false">VLOOKUP(B208,INSUMOS!$A:$I,4,0)</f>
        <v>Equipamento</v>
      </c>
      <c r="F208" s="143"/>
      <c r="G208" s="145" t="str">
        <f aca="false">VLOOKUP(B208,INSUMOS!$A:$I,5,0)</f>
        <v>H</v>
      </c>
      <c r="H208" s="146" t="n">
        <v>1</v>
      </c>
      <c r="I208" s="147" t="n">
        <f aca="false">VLOOKUP(B208,INSUMOS!$A:$I,8,0)</f>
        <v>1.07</v>
      </c>
      <c r="J208" s="147" t="n">
        <f aca="false">TRUNC(H208*I208,2)</f>
        <v>1.07</v>
      </c>
      <c r="K208" s="217"/>
      <c r="L208" s="176" t="n">
        <f aca="false">IF(AND(A209&lt;&gt;"",A208=""),L207+1,L207)</f>
        <v>26</v>
      </c>
      <c r="M208" s="101" t="n">
        <f aca="false">IF(OR(A208="Insumo",A208="Composição Auxiliar"),J208,"")</f>
        <v>1.07</v>
      </c>
      <c r="N208" s="102" t="str">
        <f aca="false">IF(E208="Mão de Obra",J208,"")</f>
        <v/>
      </c>
      <c r="O208" s="102" t="n">
        <f aca="false">IF(N208&lt;&gt;"","",M208)</f>
        <v>1.07</v>
      </c>
      <c r="P208" s="103" t="str">
        <f aca="false">IF(A208="Composição",B208,"")</f>
        <v/>
      </c>
      <c r="Q208" s="102" t="str">
        <f aca="false">IF(P208&lt;&gt;"",SUMIF(L208:L308,L208,N208:N308),"")</f>
        <v/>
      </c>
      <c r="R208" s="102" t="str">
        <f aca="false">IF(P208&lt;&gt;"",SUMIF(L208:L308,L208,O208:O308),"")</f>
        <v/>
      </c>
    </row>
    <row r="209" customFormat="false" ht="14" hidden="false" customHeight="false" outlineLevel="0" collapsed="false">
      <c r="A209" s="143" t="s">
        <v>128</v>
      </c>
      <c r="B209" s="144" t="s">
        <v>245</v>
      </c>
      <c r="C209" s="143" t="str">
        <f aca="false">VLOOKUP(B209,INSUMOS!$A:$I,2,0)</f>
        <v>SINAPI</v>
      </c>
      <c r="D209" s="143" t="str">
        <f aca="false">VLOOKUP(B209,INSUMOS!$A:$I,3,0)</f>
        <v>EXAMES - HORISTA (COLETADO CAIXA)</v>
      </c>
      <c r="E209" s="143" t="str">
        <f aca="false">VLOOKUP(B209,INSUMOS!$A:$I,4,0)</f>
        <v>Outros</v>
      </c>
      <c r="F209" s="143"/>
      <c r="G209" s="145" t="str">
        <f aca="false">VLOOKUP(B209,INSUMOS!$A:$I,5,0)</f>
        <v>H</v>
      </c>
      <c r="H209" s="146" t="n">
        <v>1</v>
      </c>
      <c r="I209" s="147" t="n">
        <f aca="false">VLOOKUP(B209,INSUMOS!$A:$I,8,0)</f>
        <v>0.81</v>
      </c>
      <c r="J209" s="147" t="n">
        <f aca="false">TRUNC(H209*I209,2)</f>
        <v>0.81</v>
      </c>
      <c r="K209" s="217"/>
      <c r="L209" s="176" t="n">
        <f aca="false">IF(AND(A210&lt;&gt;"",A209=""),L208+1,L208)</f>
        <v>26</v>
      </c>
      <c r="M209" s="101" t="n">
        <f aca="false">IF(OR(A209="Insumo",A209="Composição Auxiliar"),J209,"")</f>
        <v>0.81</v>
      </c>
      <c r="N209" s="102" t="str">
        <f aca="false">IF(E209="Mão de Obra",J209,"")</f>
        <v/>
      </c>
      <c r="O209" s="102" t="n">
        <f aca="false">IF(N209&lt;&gt;"","",M209)</f>
        <v>0.81</v>
      </c>
      <c r="P209" s="103" t="str">
        <f aca="false">IF(A209="Composição",B209,"")</f>
        <v/>
      </c>
      <c r="Q209" s="102" t="str">
        <f aca="false">IF(P209&lt;&gt;"",SUMIF(L209:L309,L209,N209:N309),"")</f>
        <v/>
      </c>
      <c r="R209" s="102" t="str">
        <f aca="false">IF(P209&lt;&gt;"",SUMIF(L209:L309,L209,O209:O309),"")</f>
        <v/>
      </c>
    </row>
    <row r="210" customFormat="false" ht="25" hidden="false" customHeight="true" outlineLevel="0" collapsed="false">
      <c r="A210" s="143" t="s">
        <v>128</v>
      </c>
      <c r="B210" s="144" t="s">
        <v>254</v>
      </c>
      <c r="C210" s="143" t="str">
        <f aca="false">VLOOKUP(B210,INSUMOS!$A:$I,2,0)</f>
        <v>SINAPI</v>
      </c>
      <c r="D210" s="143" t="str">
        <f aca="false">VLOOKUP(B210,INSUMOS!$A:$I,3,0)</f>
        <v>FERRAMENTAS - FAMILIA ELETRICISTA - HORISTA (ENCARGOS COMPLEMENTARES - COLETADO CAIXA)</v>
      </c>
      <c r="E210" s="143" t="str">
        <f aca="false">VLOOKUP(B210,INSUMOS!$A:$I,4,0)</f>
        <v>Equipamento</v>
      </c>
      <c r="F210" s="143"/>
      <c r="G210" s="145" t="str">
        <f aca="false">VLOOKUP(B210,INSUMOS!$A:$I,5,0)</f>
        <v>H</v>
      </c>
      <c r="H210" s="146" t="n">
        <v>1</v>
      </c>
      <c r="I210" s="147" t="n">
        <f aca="false">VLOOKUP(B210,INSUMOS!$A:$I,8,0)</f>
        <v>0.78</v>
      </c>
      <c r="J210" s="147" t="n">
        <f aca="false">TRUNC(H210*I210,2)</f>
        <v>0.78</v>
      </c>
      <c r="K210" s="217"/>
      <c r="L210" s="176" t="n">
        <f aca="false">IF(AND(A211&lt;&gt;"",A210=""),L209+1,L209)</f>
        <v>26</v>
      </c>
      <c r="M210" s="101" t="n">
        <f aca="false">IF(OR(A210="Insumo",A210="Composição Auxiliar"),J210,"")</f>
        <v>0.78</v>
      </c>
      <c r="N210" s="102" t="str">
        <f aca="false">IF(E210="Mão de Obra",J210,"")</f>
        <v/>
      </c>
      <c r="O210" s="102" t="n">
        <f aca="false">IF(N210&lt;&gt;"","",M210)</f>
        <v>0.78</v>
      </c>
      <c r="P210" s="103" t="str">
        <f aca="false">IF(A210="Composição",B210,"")</f>
        <v/>
      </c>
      <c r="Q210" s="102" t="str">
        <f aca="false">IF(P210&lt;&gt;"",SUMIF(L210:L310,L210,N210:N310),"")</f>
        <v/>
      </c>
      <c r="R210" s="102" t="str">
        <f aca="false">IF(P210&lt;&gt;"",SUMIF(L210:L310,L210,O210:O310),"")</f>
        <v/>
      </c>
    </row>
    <row r="211" customFormat="false" ht="14" hidden="false" customHeight="false" outlineLevel="0" collapsed="false">
      <c r="A211" s="143" t="s">
        <v>128</v>
      </c>
      <c r="B211" s="144" t="s">
        <v>247</v>
      </c>
      <c r="C211" s="143" t="str">
        <f aca="false">VLOOKUP(B211,INSUMOS!$A:$I,2,0)</f>
        <v>SINAPI</v>
      </c>
      <c r="D211" s="143" t="str">
        <f aca="false">VLOOKUP(B211,INSUMOS!$A:$I,3,0)</f>
        <v>SEGURO - HORISTA (COLETADO CAIXA)</v>
      </c>
      <c r="E211" s="143" t="str">
        <f aca="false">VLOOKUP(B211,INSUMOS!$A:$I,4,0)</f>
        <v>Taxas</v>
      </c>
      <c r="F211" s="143"/>
      <c r="G211" s="145" t="str">
        <f aca="false">VLOOKUP(B211,INSUMOS!$A:$I,5,0)</f>
        <v>H</v>
      </c>
      <c r="H211" s="146" t="n">
        <v>1</v>
      </c>
      <c r="I211" s="147" t="n">
        <f aca="false">VLOOKUP(B211,INSUMOS!$A:$I,8,0)</f>
        <v>0.06</v>
      </c>
      <c r="J211" s="147" t="n">
        <f aca="false">TRUNC(H211*I211,2)</f>
        <v>0.06</v>
      </c>
      <c r="K211" s="217"/>
      <c r="L211" s="176" t="n">
        <f aca="false">IF(AND(A212&lt;&gt;"",A211=""),L210+1,L210)</f>
        <v>26</v>
      </c>
      <c r="M211" s="101" t="n">
        <f aca="false">IF(OR(A211="Insumo",A211="Composição Auxiliar"),J211,"")</f>
        <v>0.06</v>
      </c>
      <c r="N211" s="102" t="str">
        <f aca="false">IF(E211="Mão de Obra",J211,"")</f>
        <v/>
      </c>
      <c r="O211" s="102" t="n">
        <f aca="false">IF(N211&lt;&gt;"","",M211)</f>
        <v>0.06</v>
      </c>
      <c r="P211" s="103" t="str">
        <f aca="false">IF(A211="Composição",B211,"")</f>
        <v/>
      </c>
      <c r="Q211" s="102" t="str">
        <f aca="false">IF(P211&lt;&gt;"",SUMIF(L211:L311,L211,N211:N311),"")</f>
        <v/>
      </c>
      <c r="R211" s="102" t="str">
        <f aca="false">IF(P211&lt;&gt;"",SUMIF(L211:L311,L211,O211:O311),"")</f>
        <v/>
      </c>
    </row>
    <row r="212" customFormat="false" ht="25" hidden="false" customHeight="true" outlineLevel="0" collapsed="false">
      <c r="A212" s="143" t="s">
        <v>128</v>
      </c>
      <c r="B212" s="144" t="s">
        <v>255</v>
      </c>
      <c r="C212" s="143" t="str">
        <f aca="false">VLOOKUP(B212,INSUMOS!$A:$I,2,0)</f>
        <v>SINAPI</v>
      </c>
      <c r="D212" s="143" t="str">
        <f aca="false">VLOOKUP(B212,INSUMOS!$A:$I,3,0)</f>
        <v>TRANSPORTE - HORISTA (COLETADO CAIXA)</v>
      </c>
      <c r="E212" s="143" t="str">
        <f aca="false">VLOOKUP(B212,INSUMOS!$A:$I,4,0)</f>
        <v>Serviços</v>
      </c>
      <c r="F212" s="143"/>
      <c r="G212" s="145" t="str">
        <f aca="false">VLOOKUP(B212,INSUMOS!$A:$I,5,0)</f>
        <v>H</v>
      </c>
      <c r="H212" s="146" t="n">
        <v>1</v>
      </c>
      <c r="I212" s="147" t="n">
        <f aca="false">VLOOKUP(B212,INSUMOS!$A:$I,8,0)</f>
        <v>0.75</v>
      </c>
      <c r="J212" s="147" t="n">
        <f aca="false">TRUNC(H212*I212,2)</f>
        <v>0.75</v>
      </c>
      <c r="K212" s="217"/>
      <c r="L212" s="176" t="n">
        <f aca="false">IF(AND(A213&lt;&gt;"",A212=""),L211+1,L211)</f>
        <v>26</v>
      </c>
      <c r="M212" s="101" t="n">
        <f aca="false">IF(OR(A212="Insumo",A212="Composição Auxiliar"),J212,"")</f>
        <v>0.75</v>
      </c>
      <c r="N212" s="102" t="str">
        <f aca="false">IF(E212="Mão de Obra",J212,"")</f>
        <v/>
      </c>
      <c r="O212" s="102" t="n">
        <f aca="false">IF(N212&lt;&gt;"","",M212)</f>
        <v>0.75</v>
      </c>
      <c r="P212" s="103" t="str">
        <f aca="false">IF(A212="Composição",B212,"")</f>
        <v/>
      </c>
      <c r="Q212" s="102" t="str">
        <f aca="false">IF(P212&lt;&gt;"",SUMIF(L212:L312,L212,N212:N312),"")</f>
        <v/>
      </c>
      <c r="R212" s="102" t="str">
        <f aca="false">IF(P212&lt;&gt;"",SUMIF(L212:L312,L212,O212:O312),"")</f>
        <v/>
      </c>
    </row>
    <row r="213" customFormat="false" ht="25" hidden="false" customHeight="true" outlineLevel="0" collapsed="false">
      <c r="A213" s="149"/>
      <c r="B213" s="149"/>
      <c r="C213" s="149"/>
      <c r="D213" s="149"/>
      <c r="E213" s="149"/>
      <c r="F213" s="150"/>
      <c r="G213" s="149"/>
      <c r="H213" s="150"/>
      <c r="I213" s="149"/>
      <c r="J213" s="150"/>
      <c r="K213" s="217"/>
      <c r="L213" s="176" t="n">
        <f aca="false">IF(AND(A214&lt;&gt;"",A213=""),L212+1,L212)</f>
        <v>26</v>
      </c>
      <c r="M213" s="101" t="str">
        <f aca="false">IF(OR(A213="Insumo",A213="Composição Auxiliar"),J213,"")</f>
        <v/>
      </c>
      <c r="N213" s="102" t="str">
        <f aca="false">IF(E213="Mão de Obra",J213,"")</f>
        <v/>
      </c>
      <c r="O213" s="102" t="str">
        <f aca="false">IF(N213&lt;&gt;"","",M213)</f>
        <v/>
      </c>
      <c r="P213" s="103" t="str">
        <f aca="false">IF(A213="Composição",B213,"")</f>
        <v/>
      </c>
      <c r="Q213" s="102" t="str">
        <f aca="false">IF(P213&lt;&gt;"",SUMIF(L213:L313,L213,N213:N313),"")</f>
        <v/>
      </c>
      <c r="R213" s="102" t="str">
        <f aca="false">IF(P213&lt;&gt;"",SUMIF(L213:L313,L213,O213:O313),"")</f>
        <v/>
      </c>
    </row>
    <row r="214" customFormat="false" ht="14.25" hidden="false" customHeight="true" outlineLevel="0" collapsed="false">
      <c r="A214" s="149"/>
      <c r="B214" s="149"/>
      <c r="C214" s="149"/>
      <c r="D214" s="149"/>
      <c r="E214" s="149"/>
      <c r="F214" s="150"/>
      <c r="G214" s="149"/>
      <c r="H214" s="151"/>
      <c r="I214" s="151"/>
      <c r="J214" s="150"/>
      <c r="K214" s="217"/>
      <c r="L214" s="176" t="n">
        <f aca="false">IF(AND(A215&lt;&gt;"",A214=""),L213+1,L213)</f>
        <v>26</v>
      </c>
      <c r="M214" s="101" t="str">
        <f aca="false">IF(OR(A214="Insumo",A214="Composição Auxiliar"),J214,"")</f>
        <v/>
      </c>
      <c r="N214" s="102" t="str">
        <f aca="false">IF(E214="Mão de Obra",J214,"")</f>
        <v/>
      </c>
      <c r="O214" s="102" t="str">
        <f aca="false">IF(N214&lt;&gt;"","",M214)</f>
        <v/>
      </c>
      <c r="P214" s="103" t="str">
        <f aca="false">IF(A214="Composição",B214,"")</f>
        <v/>
      </c>
      <c r="Q214" s="102" t="str">
        <f aca="false">IF(P214&lt;&gt;"",SUMIF(L214:L314,L214,N214:N314),"")</f>
        <v/>
      </c>
      <c r="R214" s="102" t="str">
        <f aca="false">IF(P214&lt;&gt;"",SUMIF(L214:L314,L214,O214:O314),"")</f>
        <v/>
      </c>
    </row>
    <row r="215" customFormat="false" ht="14.5" hidden="false" customHeight="false" outlineLevel="0" collapsed="false">
      <c r="A215" s="155"/>
      <c r="B215" s="155"/>
      <c r="C215" s="155"/>
      <c r="D215" s="155"/>
      <c r="E215" s="155"/>
      <c r="F215" s="155"/>
      <c r="G215" s="155"/>
      <c r="H215" s="155"/>
      <c r="I215" s="155"/>
      <c r="J215" s="155"/>
      <c r="K215" s="217"/>
      <c r="L215" s="176" t="n">
        <f aca="false">IF(AND(A216&lt;&gt;"",A215=""),L214+1,L214)</f>
        <v>26</v>
      </c>
      <c r="M215" s="101" t="str">
        <f aca="false">IF(OR(A215="Insumo",A215="Composição Auxiliar"),J215,"")</f>
        <v/>
      </c>
      <c r="N215" s="102" t="str">
        <f aca="false">IF(E215="Mão de Obra",J215,"")</f>
        <v/>
      </c>
      <c r="O215" s="102" t="str">
        <f aca="false">IF(N215&lt;&gt;"","",M215)</f>
        <v/>
      </c>
      <c r="P215" s="103" t="str">
        <f aca="false">IF(A215="Composição",B215,"")</f>
        <v/>
      </c>
      <c r="Q215" s="102" t="str">
        <f aca="false">IF(P215&lt;&gt;"",SUMIF(L215:L315,L215,N215:N315),"")</f>
        <v/>
      </c>
      <c r="R215" s="102" t="str">
        <f aca="false">IF(P215&lt;&gt;"",SUMIF(L215:L315,L215,O215:O315),"")</f>
        <v/>
      </c>
    </row>
    <row r="216" customFormat="false" ht="14" hidden="false" customHeight="true" outlineLevel="0" collapsed="false">
      <c r="A216" s="118"/>
      <c r="B216" s="119" t="s">
        <v>115</v>
      </c>
      <c r="C216" s="118" t="s">
        <v>116</v>
      </c>
      <c r="D216" s="118" t="s">
        <v>117</v>
      </c>
      <c r="E216" s="118" t="s">
        <v>118</v>
      </c>
      <c r="F216" s="118"/>
      <c r="G216" s="120" t="s">
        <v>119</v>
      </c>
      <c r="H216" s="119" t="s">
        <v>120</v>
      </c>
      <c r="I216" s="119" t="s">
        <v>130</v>
      </c>
      <c r="J216" s="119" t="s">
        <v>131</v>
      </c>
      <c r="K216" s="217"/>
      <c r="L216" s="176" t="n">
        <f aca="false">IF(AND(A217&lt;&gt;"",A216=""),L215+1,L215)</f>
        <v>27</v>
      </c>
      <c r="M216" s="101" t="str">
        <f aca="false">IF(OR(A216="Insumo",A216="Composição Auxiliar"),J216,"")</f>
        <v/>
      </c>
      <c r="N216" s="102" t="str">
        <f aca="false">IF(E216="Mão de Obra",J216,"")</f>
        <v/>
      </c>
      <c r="O216" s="102" t="str">
        <f aca="false">IF(N216&lt;&gt;"","",M216)</f>
        <v/>
      </c>
      <c r="P216" s="103" t="str">
        <f aca="false">IF(A216="Composição",B216,"")</f>
        <v/>
      </c>
      <c r="Q216" s="102" t="str">
        <f aca="false">IF(P216&lt;&gt;"",SUMIF(L216:L316,L216,N216:N316),"")</f>
        <v/>
      </c>
      <c r="R216" s="102" t="str">
        <f aca="false">IF(P216&lt;&gt;"",SUMIF(L216:L316,L216,O216:O316),"")</f>
        <v/>
      </c>
    </row>
    <row r="217" customFormat="false" ht="14" hidden="false" customHeight="true" outlineLevel="0" collapsed="false">
      <c r="A217" s="122" t="s">
        <v>121</v>
      </c>
      <c r="B217" s="55" t="s">
        <v>227</v>
      </c>
      <c r="C217" s="122" t="s">
        <v>122</v>
      </c>
      <c r="D217" s="122" t="s">
        <v>228</v>
      </c>
      <c r="E217" s="122" t="s">
        <v>124</v>
      </c>
      <c r="F217" s="122"/>
      <c r="G217" s="123" t="s">
        <v>125</v>
      </c>
      <c r="H217" s="124" t="n">
        <v>1</v>
      </c>
      <c r="I217" s="125" t="n">
        <f aca="false">SUMIF(L:L,$L217,M:M)</f>
        <v>30.79</v>
      </c>
      <c r="J217" s="125" t="n">
        <f aca="false">TRUNC(H217*I217,2)</f>
        <v>30.79</v>
      </c>
      <c r="K217" s="217"/>
      <c r="L217" s="176" t="n">
        <f aca="false">IF(AND(A218&lt;&gt;"",A217=""),L216+1,L216)</f>
        <v>27</v>
      </c>
      <c r="M217" s="101" t="str">
        <f aca="false">IF(OR(A217="Insumo",A217="Composição Auxiliar"),J217,"")</f>
        <v/>
      </c>
      <c r="N217" s="102" t="str">
        <f aca="false">IF(E217="Mão de Obra",J217,"")</f>
        <v/>
      </c>
      <c r="O217" s="102" t="str">
        <f aca="false">IF(N217&lt;&gt;"","",M217)</f>
        <v/>
      </c>
      <c r="P217" s="103" t="str">
        <f aca="false">IF(A217="Composição",B217,"")</f>
        <v> 88266 </v>
      </c>
      <c r="Q217" s="102" t="n">
        <f aca="false">IF(P217&lt;&gt;"",SUMIF(L217:L317,L217,N217:N317),"")</f>
        <v>24.6</v>
      </c>
      <c r="R217" s="102" t="n">
        <f aca="false">IF(P217&lt;&gt;"",SUMIF(L217:L317,L217,O217:O317),"")</f>
        <v>6.19</v>
      </c>
    </row>
    <row r="218" customFormat="false" ht="25" hidden="false" customHeight="true" outlineLevel="0" collapsed="false">
      <c r="A218" s="129" t="s">
        <v>126</v>
      </c>
      <c r="B218" s="130" t="s">
        <v>292</v>
      </c>
      <c r="C218" s="129" t="s">
        <v>122</v>
      </c>
      <c r="D218" s="129" t="s">
        <v>293</v>
      </c>
      <c r="E218" s="129" t="s">
        <v>124</v>
      </c>
      <c r="F218" s="129"/>
      <c r="G218" s="131" t="s">
        <v>125</v>
      </c>
      <c r="H218" s="132" t="n">
        <v>1</v>
      </c>
      <c r="I218" s="133" t="n">
        <f aca="false">SUMIFS(J:J,A:A,"Composição",B:B,$B218)</f>
        <v>0.61</v>
      </c>
      <c r="J218" s="133" t="n">
        <f aca="false">TRUNC(H218*I218,2)</f>
        <v>0.61</v>
      </c>
      <c r="K218" s="217"/>
      <c r="L218" s="176" t="n">
        <f aca="false">IF(AND(A219&lt;&gt;"",A218=""),L217+1,L217)</f>
        <v>27</v>
      </c>
      <c r="M218" s="101" t="n">
        <f aca="false">IF(OR(A218="Insumo",A218="Composição Auxiliar"),J218,"")</f>
        <v>0.61</v>
      </c>
      <c r="N218" s="102" t="str">
        <f aca="false">IF(E218="Mão de Obra",J218,"")</f>
        <v/>
      </c>
      <c r="O218" s="102" t="n">
        <f aca="false">IF(N218&lt;&gt;"","",M218)</f>
        <v>0.61</v>
      </c>
      <c r="P218" s="103" t="str">
        <f aca="false">IF(A218="Composição",B218,"")</f>
        <v/>
      </c>
      <c r="Q218" s="102" t="str">
        <f aca="false">IF(P218&lt;&gt;"",SUMIF(L218:L318,L218,N218:N318),"")</f>
        <v/>
      </c>
      <c r="R218" s="102" t="str">
        <f aca="false">IF(P218&lt;&gt;"",SUMIF(L218:L318,L218,O218:O318),"")</f>
        <v/>
      </c>
    </row>
    <row r="219" customFormat="false" ht="14" hidden="false" customHeight="false" outlineLevel="0" collapsed="false">
      <c r="A219" s="143" t="s">
        <v>128</v>
      </c>
      <c r="B219" s="144" t="s">
        <v>129</v>
      </c>
      <c r="C219" s="143" t="str">
        <f aca="false">VLOOKUP(B219,INSUMOS!$A:$I,2,0)</f>
        <v>SINAPI</v>
      </c>
      <c r="D219" s="143" t="str">
        <f aca="false">VLOOKUP(B219,INSUMOS!$A:$I,3,0)</f>
        <v>ALIMENTACAO - HORISTA (COLETADO CAIXA)</v>
      </c>
      <c r="E219" s="143" t="str">
        <f aca="false">VLOOKUP(B219,INSUMOS!$A:$I,4,0)</f>
        <v>Outros</v>
      </c>
      <c r="F219" s="143"/>
      <c r="G219" s="145" t="str">
        <f aca="false">VLOOKUP(B219,INSUMOS!$A:$I,5,0)</f>
        <v>H</v>
      </c>
      <c r="H219" s="146" t="n">
        <v>1</v>
      </c>
      <c r="I219" s="147" t="n">
        <f aca="false">VLOOKUP(B219,INSUMOS!$A:$I,8,0)</f>
        <v>2.11</v>
      </c>
      <c r="J219" s="147" t="n">
        <f aca="false">TRUNC(H219*I219,2)</f>
        <v>2.11</v>
      </c>
      <c r="K219" s="217"/>
      <c r="L219" s="176" t="n">
        <f aca="false">IF(AND(A220&lt;&gt;"",A219=""),L218+1,L218)</f>
        <v>27</v>
      </c>
      <c r="M219" s="101" t="n">
        <f aca="false">IF(OR(A219="Insumo",A219="Composição Auxiliar"),J219,"")</f>
        <v>2.11</v>
      </c>
      <c r="N219" s="102" t="str">
        <f aca="false">IF(E219="Mão de Obra",J219,"")</f>
        <v/>
      </c>
      <c r="O219" s="102" t="n">
        <f aca="false">IF(N219&lt;&gt;"","",M219)</f>
        <v>2.11</v>
      </c>
      <c r="P219" s="103" t="str">
        <f aca="false">IF(A219="Composição",B219,"")</f>
        <v/>
      </c>
      <c r="Q219" s="102" t="str">
        <f aca="false">IF(P219&lt;&gt;"",SUMIF(L219:L319,L219,N219:N319),"")</f>
        <v/>
      </c>
      <c r="R219" s="102" t="str">
        <f aca="false">IF(P219&lt;&gt;"",SUMIF(L219:L319,L219,O219:O319),"")</f>
        <v/>
      </c>
    </row>
    <row r="220" customFormat="false" ht="25" hidden="false" customHeight="true" outlineLevel="0" collapsed="false">
      <c r="A220" s="143" t="s">
        <v>128</v>
      </c>
      <c r="B220" s="144" t="s">
        <v>294</v>
      </c>
      <c r="C220" s="143" t="str">
        <f aca="false">VLOOKUP(B220,INSUMOS!$A:$I,2,0)</f>
        <v>SINAPI</v>
      </c>
      <c r="D220" s="143" t="str">
        <f aca="false">VLOOKUP(B220,INSUMOS!$A:$I,3,0)</f>
        <v>ELETROTECNICO</v>
      </c>
      <c r="E220" s="143" t="str">
        <f aca="false">VLOOKUP(B220,INSUMOS!$A:$I,4,0)</f>
        <v>Mão de Obra</v>
      </c>
      <c r="F220" s="143"/>
      <c r="G220" s="145" t="str">
        <f aca="false">VLOOKUP(B220,INSUMOS!$A:$I,5,0)</f>
        <v>H</v>
      </c>
      <c r="H220" s="146" t="n">
        <v>1</v>
      </c>
      <c r="I220" s="147" t="n">
        <f aca="false">VLOOKUP(B220,INSUMOS!$A:$I,8,0)</f>
        <v>24.6</v>
      </c>
      <c r="J220" s="147" t="n">
        <f aca="false">TRUNC(H220*I220,2)</f>
        <v>24.6</v>
      </c>
      <c r="K220" s="217"/>
      <c r="L220" s="176" t="n">
        <f aca="false">IF(AND(A221&lt;&gt;"",A220=""),L219+1,L219)</f>
        <v>27</v>
      </c>
      <c r="M220" s="101" t="n">
        <f aca="false">IF(OR(A220="Insumo",A220="Composição Auxiliar"),J220,"")</f>
        <v>24.6</v>
      </c>
      <c r="N220" s="102" t="n">
        <f aca="false">IF(E220="Mão de Obra",J220,"")</f>
        <v>24.6</v>
      </c>
      <c r="O220" s="102" t="str">
        <f aca="false">IF(N220&lt;&gt;"","",M220)</f>
        <v/>
      </c>
      <c r="P220" s="103" t="str">
        <f aca="false">IF(A220="Composição",B220,"")</f>
        <v/>
      </c>
      <c r="Q220" s="102" t="str">
        <f aca="false">IF(P220&lt;&gt;"",SUMIF(L220:L320,L220,N220:N320),"")</f>
        <v/>
      </c>
      <c r="R220" s="102" t="str">
        <f aca="false">IF(P220&lt;&gt;"",SUMIF(L220:L320,L220,O220:O320),"")</f>
        <v/>
      </c>
    </row>
    <row r="221" customFormat="false" ht="25" hidden="false" customHeight="false" outlineLevel="0" collapsed="false">
      <c r="A221" s="143" t="s">
        <v>128</v>
      </c>
      <c r="B221" s="144" t="s">
        <v>253</v>
      </c>
      <c r="C221" s="143" t="str">
        <f aca="false">VLOOKUP(B221,INSUMOS!$A:$I,2,0)</f>
        <v>SINAPI</v>
      </c>
      <c r="D221" s="143" t="str">
        <f aca="false">VLOOKUP(B221,INSUMOS!$A:$I,3,0)</f>
        <v>EPI - FAMILIA ELETRICISTA - HORISTA (ENCARGOS COMPLEMENTARES - COLETADO CAIXA)</v>
      </c>
      <c r="E221" s="143" t="str">
        <f aca="false">VLOOKUP(B221,INSUMOS!$A:$I,4,0)</f>
        <v>Equipamento</v>
      </c>
      <c r="F221" s="143"/>
      <c r="G221" s="145" t="str">
        <f aca="false">VLOOKUP(B221,INSUMOS!$A:$I,5,0)</f>
        <v>H</v>
      </c>
      <c r="H221" s="146" t="n">
        <v>1</v>
      </c>
      <c r="I221" s="147" t="n">
        <f aca="false">VLOOKUP(B221,INSUMOS!$A:$I,8,0)</f>
        <v>1.07</v>
      </c>
      <c r="J221" s="147" t="n">
        <f aca="false">TRUNC(H221*I221,2)</f>
        <v>1.07</v>
      </c>
      <c r="K221" s="217"/>
      <c r="L221" s="176" t="n">
        <f aca="false">IF(AND(A222&lt;&gt;"",A221=""),L220+1,L220)</f>
        <v>27</v>
      </c>
      <c r="M221" s="101" t="n">
        <f aca="false">IF(OR(A221="Insumo",A221="Composição Auxiliar"),J221,"")</f>
        <v>1.07</v>
      </c>
      <c r="N221" s="102" t="str">
        <f aca="false">IF(E221="Mão de Obra",J221,"")</f>
        <v/>
      </c>
      <c r="O221" s="102" t="n">
        <f aca="false">IF(N221&lt;&gt;"","",M221)</f>
        <v>1.07</v>
      </c>
      <c r="P221" s="103" t="str">
        <f aca="false">IF(A221="Composição",B221,"")</f>
        <v/>
      </c>
      <c r="Q221" s="102" t="str">
        <f aca="false">IF(P221&lt;&gt;"",SUMIF(L221:L321,L221,N221:N321),"")</f>
        <v/>
      </c>
      <c r="R221" s="102" t="str">
        <f aca="false">IF(P221&lt;&gt;"",SUMIF(L221:L321,L221,O221:O321),"")</f>
        <v/>
      </c>
    </row>
    <row r="222" customFormat="false" ht="14" hidden="false" customHeight="false" outlineLevel="0" collapsed="false">
      <c r="A222" s="143" t="s">
        <v>128</v>
      </c>
      <c r="B222" s="144" t="s">
        <v>245</v>
      </c>
      <c r="C222" s="143" t="str">
        <f aca="false">VLOOKUP(B222,INSUMOS!$A:$I,2,0)</f>
        <v>SINAPI</v>
      </c>
      <c r="D222" s="143" t="str">
        <f aca="false">VLOOKUP(B222,INSUMOS!$A:$I,3,0)</f>
        <v>EXAMES - HORISTA (COLETADO CAIXA)</v>
      </c>
      <c r="E222" s="143" t="str">
        <f aca="false">VLOOKUP(B222,INSUMOS!$A:$I,4,0)</f>
        <v>Outros</v>
      </c>
      <c r="F222" s="143"/>
      <c r="G222" s="145" t="str">
        <f aca="false">VLOOKUP(B222,INSUMOS!$A:$I,5,0)</f>
        <v>H</v>
      </c>
      <c r="H222" s="146" t="n">
        <v>1</v>
      </c>
      <c r="I222" s="147" t="n">
        <f aca="false">VLOOKUP(B222,INSUMOS!$A:$I,8,0)</f>
        <v>0.81</v>
      </c>
      <c r="J222" s="147" t="n">
        <f aca="false">TRUNC(H222*I222,2)</f>
        <v>0.81</v>
      </c>
      <c r="K222" s="217"/>
      <c r="L222" s="176" t="n">
        <f aca="false">IF(AND(A223&lt;&gt;"",A222=""),L221+1,L221)</f>
        <v>27</v>
      </c>
      <c r="M222" s="101" t="n">
        <f aca="false">IF(OR(A222="Insumo",A222="Composição Auxiliar"),J222,"")</f>
        <v>0.81</v>
      </c>
      <c r="N222" s="102" t="str">
        <f aca="false">IF(E222="Mão de Obra",J222,"")</f>
        <v/>
      </c>
      <c r="O222" s="102" t="n">
        <f aca="false">IF(N222&lt;&gt;"","",M222)</f>
        <v>0.81</v>
      </c>
      <c r="P222" s="103" t="str">
        <f aca="false">IF(A222="Composição",B222,"")</f>
        <v/>
      </c>
      <c r="Q222" s="102" t="str">
        <f aca="false">IF(P222&lt;&gt;"",SUMIF(L222:L322,L222,N222:N322),"")</f>
        <v/>
      </c>
      <c r="R222" s="102" t="str">
        <f aca="false">IF(P222&lt;&gt;"",SUMIF(L222:L322,L222,O222:O322),"")</f>
        <v/>
      </c>
    </row>
    <row r="223" customFormat="false" ht="25" hidden="false" customHeight="true" outlineLevel="0" collapsed="false">
      <c r="A223" s="143" t="s">
        <v>128</v>
      </c>
      <c r="B223" s="144" t="s">
        <v>254</v>
      </c>
      <c r="C223" s="143" t="str">
        <f aca="false">VLOOKUP(B223,INSUMOS!$A:$I,2,0)</f>
        <v>SINAPI</v>
      </c>
      <c r="D223" s="143" t="str">
        <f aca="false">VLOOKUP(B223,INSUMOS!$A:$I,3,0)</f>
        <v>FERRAMENTAS - FAMILIA ELETRICISTA - HORISTA (ENCARGOS COMPLEMENTARES - COLETADO CAIXA)</v>
      </c>
      <c r="E223" s="143" t="str">
        <f aca="false">VLOOKUP(B223,INSUMOS!$A:$I,4,0)</f>
        <v>Equipamento</v>
      </c>
      <c r="F223" s="143"/>
      <c r="G223" s="145" t="str">
        <f aca="false">VLOOKUP(B223,INSUMOS!$A:$I,5,0)</f>
        <v>H</v>
      </c>
      <c r="H223" s="146" t="n">
        <v>1</v>
      </c>
      <c r="I223" s="147" t="n">
        <f aca="false">VLOOKUP(B223,INSUMOS!$A:$I,8,0)</f>
        <v>0.78</v>
      </c>
      <c r="J223" s="147" t="n">
        <f aca="false">TRUNC(H223*I223,2)</f>
        <v>0.78</v>
      </c>
      <c r="K223" s="217"/>
      <c r="L223" s="176" t="n">
        <f aca="false">IF(AND(A224&lt;&gt;"",A223=""),L222+1,L222)</f>
        <v>27</v>
      </c>
      <c r="M223" s="101" t="n">
        <f aca="false">IF(OR(A223="Insumo",A223="Composição Auxiliar"),J223,"")</f>
        <v>0.78</v>
      </c>
      <c r="N223" s="102" t="str">
        <f aca="false">IF(E223="Mão de Obra",J223,"")</f>
        <v/>
      </c>
      <c r="O223" s="102" t="n">
        <f aca="false">IF(N223&lt;&gt;"","",M223)</f>
        <v>0.78</v>
      </c>
      <c r="P223" s="103" t="str">
        <f aca="false">IF(A223="Composição",B223,"")</f>
        <v/>
      </c>
      <c r="Q223" s="102" t="str">
        <f aca="false">IF(P223&lt;&gt;"",SUMIF(L223:L323,L223,N223:N323),"")</f>
        <v/>
      </c>
      <c r="R223" s="102" t="str">
        <f aca="false">IF(P223&lt;&gt;"",SUMIF(L223:L323,L223,O223:O323),"")</f>
        <v/>
      </c>
    </row>
    <row r="224" customFormat="false" ht="14" hidden="false" customHeight="false" outlineLevel="0" collapsed="false">
      <c r="A224" s="143" t="s">
        <v>128</v>
      </c>
      <c r="B224" s="144" t="s">
        <v>247</v>
      </c>
      <c r="C224" s="143" t="str">
        <f aca="false">VLOOKUP(B224,INSUMOS!$A:$I,2,0)</f>
        <v>SINAPI</v>
      </c>
      <c r="D224" s="143" t="str">
        <f aca="false">VLOOKUP(B224,INSUMOS!$A:$I,3,0)</f>
        <v>SEGURO - HORISTA (COLETADO CAIXA)</v>
      </c>
      <c r="E224" s="143" t="str">
        <f aca="false">VLOOKUP(B224,INSUMOS!$A:$I,4,0)</f>
        <v>Taxas</v>
      </c>
      <c r="F224" s="143"/>
      <c r="G224" s="145" t="str">
        <f aca="false">VLOOKUP(B224,INSUMOS!$A:$I,5,0)</f>
        <v>H</v>
      </c>
      <c r="H224" s="146" t="n">
        <v>1</v>
      </c>
      <c r="I224" s="147" t="n">
        <f aca="false">VLOOKUP(B224,INSUMOS!$A:$I,8,0)</f>
        <v>0.06</v>
      </c>
      <c r="J224" s="147" t="n">
        <f aca="false">TRUNC(H224*I224,2)</f>
        <v>0.06</v>
      </c>
      <c r="K224" s="217"/>
      <c r="L224" s="176" t="n">
        <f aca="false">IF(AND(A225&lt;&gt;"",A224=""),L223+1,L223)</f>
        <v>27</v>
      </c>
      <c r="M224" s="101" t="n">
        <f aca="false">IF(OR(A224="Insumo",A224="Composição Auxiliar"),J224,"")</f>
        <v>0.06</v>
      </c>
      <c r="N224" s="102" t="str">
        <f aca="false">IF(E224="Mão de Obra",J224,"")</f>
        <v/>
      </c>
      <c r="O224" s="102" t="n">
        <f aca="false">IF(N224&lt;&gt;"","",M224)</f>
        <v>0.06</v>
      </c>
      <c r="P224" s="103" t="str">
        <f aca="false">IF(A224="Composição",B224,"")</f>
        <v/>
      </c>
      <c r="Q224" s="102" t="str">
        <f aca="false">IF(P224&lt;&gt;"",SUMIF(L224:L324,L224,N224:N324),"")</f>
        <v/>
      </c>
      <c r="R224" s="102" t="str">
        <f aca="false">IF(P224&lt;&gt;"",SUMIF(L224:L324,L224,O224:O324),"")</f>
        <v/>
      </c>
    </row>
    <row r="225" customFormat="false" ht="25" hidden="false" customHeight="true" outlineLevel="0" collapsed="false">
      <c r="A225" s="143" t="s">
        <v>128</v>
      </c>
      <c r="B225" s="144" t="s">
        <v>255</v>
      </c>
      <c r="C225" s="143" t="str">
        <f aca="false">VLOOKUP(B225,INSUMOS!$A:$I,2,0)</f>
        <v>SINAPI</v>
      </c>
      <c r="D225" s="143" t="str">
        <f aca="false">VLOOKUP(B225,INSUMOS!$A:$I,3,0)</f>
        <v>TRANSPORTE - HORISTA (COLETADO CAIXA)</v>
      </c>
      <c r="E225" s="143" t="str">
        <f aca="false">VLOOKUP(B225,INSUMOS!$A:$I,4,0)</f>
        <v>Serviços</v>
      </c>
      <c r="F225" s="143"/>
      <c r="G225" s="145" t="str">
        <f aca="false">VLOOKUP(B225,INSUMOS!$A:$I,5,0)</f>
        <v>H</v>
      </c>
      <c r="H225" s="146" t="n">
        <v>1</v>
      </c>
      <c r="I225" s="147" t="n">
        <f aca="false">VLOOKUP(B225,INSUMOS!$A:$I,8,0)</f>
        <v>0.75</v>
      </c>
      <c r="J225" s="147" t="n">
        <f aca="false">TRUNC(H225*I225,2)</f>
        <v>0.75</v>
      </c>
      <c r="K225" s="217"/>
      <c r="L225" s="176" t="n">
        <f aca="false">IF(AND(A226&lt;&gt;"",A225=""),L224+1,L224)</f>
        <v>27</v>
      </c>
      <c r="M225" s="101" t="n">
        <f aca="false">IF(OR(A225="Insumo",A225="Composição Auxiliar"),J225,"")</f>
        <v>0.75</v>
      </c>
      <c r="N225" s="102" t="str">
        <f aca="false">IF(E225="Mão de Obra",J225,"")</f>
        <v/>
      </c>
      <c r="O225" s="102" t="n">
        <f aca="false">IF(N225&lt;&gt;"","",M225)</f>
        <v>0.75</v>
      </c>
      <c r="P225" s="103" t="str">
        <f aca="false">IF(A225="Composição",B225,"")</f>
        <v/>
      </c>
      <c r="Q225" s="102" t="str">
        <f aca="false">IF(P225&lt;&gt;"",SUMIF(L225:L325,L225,N225:N325),"")</f>
        <v/>
      </c>
      <c r="R225" s="102" t="str">
        <f aca="false">IF(P225&lt;&gt;"",SUMIF(L225:L325,L225,O225:O325),"")</f>
        <v/>
      </c>
    </row>
    <row r="226" customFormat="false" ht="25" hidden="false" customHeight="true" outlineLevel="0" collapsed="false">
      <c r="A226" s="149"/>
      <c r="B226" s="149"/>
      <c r="C226" s="149"/>
      <c r="D226" s="149"/>
      <c r="E226" s="149"/>
      <c r="F226" s="150"/>
      <c r="G226" s="149"/>
      <c r="H226" s="150"/>
      <c r="I226" s="149"/>
      <c r="J226" s="150"/>
      <c r="K226" s="217"/>
      <c r="L226" s="176" t="n">
        <f aca="false">IF(AND(A227&lt;&gt;"",A226=""),L225+1,L225)</f>
        <v>27</v>
      </c>
      <c r="M226" s="101" t="str">
        <f aca="false">IF(OR(A226="Insumo",A226="Composição Auxiliar"),J226,"")</f>
        <v/>
      </c>
      <c r="N226" s="102" t="str">
        <f aca="false">IF(E226="Mão de Obra",J226,"")</f>
        <v/>
      </c>
      <c r="O226" s="102" t="str">
        <f aca="false">IF(N226&lt;&gt;"","",M226)</f>
        <v/>
      </c>
      <c r="P226" s="103" t="str">
        <f aca="false">IF(A226="Composição",B226,"")</f>
        <v/>
      </c>
      <c r="Q226" s="102" t="str">
        <f aca="false">IF(P226&lt;&gt;"",SUMIF(L226:L326,L226,N226:N326),"")</f>
        <v/>
      </c>
      <c r="R226" s="102" t="str">
        <f aca="false">IF(P226&lt;&gt;"",SUMIF(L226:L326,L226,O226:O326),"")</f>
        <v/>
      </c>
    </row>
    <row r="227" customFormat="false" ht="14.5" hidden="false" customHeight="false" outlineLevel="0" collapsed="false">
      <c r="A227" s="149"/>
      <c r="B227" s="149"/>
      <c r="C227" s="149"/>
      <c r="D227" s="149"/>
      <c r="E227" s="149"/>
      <c r="F227" s="150"/>
      <c r="G227" s="149"/>
      <c r="H227" s="151"/>
      <c r="I227" s="151"/>
      <c r="J227" s="150"/>
      <c r="K227" s="217"/>
      <c r="L227" s="176" t="n">
        <f aca="false">IF(AND(A228&lt;&gt;"",A227=""),L226+1,L226)</f>
        <v>27</v>
      </c>
      <c r="M227" s="101" t="str">
        <f aca="false">IF(OR(A227="Insumo",A227="Composição Auxiliar"),J227,"")</f>
        <v/>
      </c>
      <c r="N227" s="102" t="str">
        <f aca="false">IF(E227="Mão de Obra",J227,"")</f>
        <v/>
      </c>
      <c r="O227" s="102" t="str">
        <f aca="false">IF(N227&lt;&gt;"","",M227)</f>
        <v/>
      </c>
      <c r="P227" s="103" t="str">
        <f aca="false">IF(A227="Composição",B227,"")</f>
        <v/>
      </c>
      <c r="Q227" s="102" t="str">
        <f aca="false">IF(P227&lt;&gt;"",SUMIF(L227:L327,L227,N227:N327),"")</f>
        <v/>
      </c>
      <c r="R227" s="102" t="str">
        <f aca="false">IF(P227&lt;&gt;"",SUMIF(L227:L327,L227,O227:O327),"")</f>
        <v/>
      </c>
    </row>
    <row r="228" customFormat="false" ht="14.5" hidden="false" customHeight="false" outlineLevel="0" collapsed="false">
      <c r="A228" s="155"/>
      <c r="B228" s="155"/>
      <c r="C228" s="155"/>
      <c r="D228" s="155"/>
      <c r="E228" s="155"/>
      <c r="F228" s="155"/>
      <c r="G228" s="155"/>
      <c r="H228" s="155"/>
      <c r="I228" s="155"/>
      <c r="J228" s="155"/>
      <c r="K228" s="217"/>
      <c r="L228" s="176" t="n">
        <f aca="false">IF(AND(A229&lt;&gt;"",A228=""),L227+1,L227)</f>
        <v>27</v>
      </c>
      <c r="M228" s="101" t="str">
        <f aca="false">IF(OR(A228="Insumo",A228="Composição Auxiliar"),J228,"")</f>
        <v/>
      </c>
      <c r="N228" s="102" t="str">
        <f aca="false">IF(E228="Mão de Obra",J228,"")</f>
        <v/>
      </c>
      <c r="O228" s="102" t="str">
        <f aca="false">IF(N228&lt;&gt;"","",M228)</f>
        <v/>
      </c>
      <c r="P228" s="103" t="str">
        <f aca="false">IF(A228="Composição",B228,"")</f>
        <v/>
      </c>
      <c r="Q228" s="102" t="str">
        <f aca="false">IF(P228&lt;&gt;"",SUMIF(L228:L328,L228,N228:N328),"")</f>
        <v/>
      </c>
      <c r="R228" s="102" t="str">
        <f aca="false">IF(P228&lt;&gt;"",SUMIF(L228:L328,L228,O228:O328),"")</f>
        <v/>
      </c>
    </row>
    <row r="229" customFormat="false" ht="14" hidden="false" customHeight="true" outlineLevel="0" collapsed="false">
      <c r="A229" s="118"/>
      <c r="B229" s="119" t="s">
        <v>115</v>
      </c>
      <c r="C229" s="118" t="s">
        <v>116</v>
      </c>
      <c r="D229" s="118" t="s">
        <v>117</v>
      </c>
      <c r="E229" s="118" t="s">
        <v>118</v>
      </c>
      <c r="F229" s="118"/>
      <c r="G229" s="120" t="s">
        <v>119</v>
      </c>
      <c r="H229" s="119" t="s">
        <v>120</v>
      </c>
      <c r="I229" s="119" t="s">
        <v>130</v>
      </c>
      <c r="J229" s="119" t="s">
        <v>131</v>
      </c>
      <c r="K229" s="217"/>
      <c r="L229" s="176" t="n">
        <f aca="false">IF(AND(A230&lt;&gt;"",A229=""),L228+1,L228)</f>
        <v>28</v>
      </c>
      <c r="M229" s="101" t="str">
        <f aca="false">IF(OR(A229="Insumo",A229="Composição Auxiliar"),J229,"")</f>
        <v/>
      </c>
      <c r="N229" s="102" t="str">
        <f aca="false">IF(E229="Mão de Obra",J229,"")</f>
        <v/>
      </c>
      <c r="O229" s="102" t="str">
        <f aca="false">IF(N229&lt;&gt;"","",M229)</f>
        <v/>
      </c>
      <c r="P229" s="103" t="str">
        <f aca="false">IF(A229="Composição",B229,"")</f>
        <v/>
      </c>
      <c r="Q229" s="102" t="str">
        <f aca="false">IF(P229&lt;&gt;"",SUMIF(L229:L329,L229,N229:N329),"")</f>
        <v/>
      </c>
      <c r="R229" s="102" t="str">
        <f aca="false">IF(P229&lt;&gt;"",SUMIF(L229:L329,L229,O229:O329),"")</f>
        <v/>
      </c>
    </row>
    <row r="230" customFormat="false" ht="25" hidden="false" customHeight="true" outlineLevel="0" collapsed="false">
      <c r="A230" s="122" t="s">
        <v>121</v>
      </c>
      <c r="B230" s="55" t="s">
        <v>168</v>
      </c>
      <c r="C230" s="122" t="s">
        <v>122</v>
      </c>
      <c r="D230" s="122" t="s">
        <v>169</v>
      </c>
      <c r="E230" s="122" t="s">
        <v>124</v>
      </c>
      <c r="F230" s="122"/>
      <c r="G230" s="123" t="s">
        <v>125</v>
      </c>
      <c r="H230" s="124" t="n">
        <v>1</v>
      </c>
      <c r="I230" s="125" t="n">
        <f aca="false">SUMIF(L:L,$L230,M:M)</f>
        <v>25.84</v>
      </c>
      <c r="J230" s="125" t="n">
        <f aca="false">TRUNC(H230*I230,2)</f>
        <v>25.84</v>
      </c>
      <c r="K230" s="217"/>
      <c r="L230" s="176" t="n">
        <f aca="false">IF(AND(A231&lt;&gt;"",A230=""),L229+1,L229)</f>
        <v>28</v>
      </c>
      <c r="M230" s="101" t="str">
        <f aca="false">IF(OR(A230="Insumo",A230="Composição Auxiliar"),J230,"")</f>
        <v/>
      </c>
      <c r="N230" s="102" t="str">
        <f aca="false">IF(E230="Mão de Obra",J230,"")</f>
        <v/>
      </c>
      <c r="O230" s="102" t="str">
        <f aca="false">IF(N230&lt;&gt;"","",M230)</f>
        <v/>
      </c>
      <c r="P230" s="103" t="str">
        <f aca="false">IF(A230="Composição",B230,"")</f>
        <v> 88267 </v>
      </c>
      <c r="Q230" s="102" t="n">
        <f aca="false">IF(P230&lt;&gt;"",SUMIF(L230:L330,L230,N230:N330),"")</f>
        <v>20.55</v>
      </c>
      <c r="R230" s="102" t="n">
        <f aca="false">IF(P230&lt;&gt;"",SUMIF(L230:L330,L230,O230:O330),"")</f>
        <v>5.29</v>
      </c>
    </row>
    <row r="231" customFormat="false" ht="14.15" hidden="false" customHeight="true" outlineLevel="0" collapsed="false">
      <c r="A231" s="129" t="s">
        <v>126</v>
      </c>
      <c r="B231" s="130" t="s">
        <v>295</v>
      </c>
      <c r="C231" s="129" t="s">
        <v>122</v>
      </c>
      <c r="D231" s="129" t="s">
        <v>296</v>
      </c>
      <c r="E231" s="129" t="s">
        <v>124</v>
      </c>
      <c r="F231" s="129"/>
      <c r="G231" s="131" t="s">
        <v>125</v>
      </c>
      <c r="H231" s="132" t="n">
        <v>1</v>
      </c>
      <c r="I231" s="133" t="n">
        <f aca="false">SUMIFS(J:J,A:A,"Composição",B:B,$B231)</f>
        <v>0.3</v>
      </c>
      <c r="J231" s="133" t="n">
        <f aca="false">TRUNC(H231*I231,2)</f>
        <v>0.3</v>
      </c>
      <c r="K231" s="217"/>
      <c r="L231" s="176" t="n">
        <f aca="false">IF(AND(A232&lt;&gt;"",A231=""),L230+1,L230)</f>
        <v>28</v>
      </c>
      <c r="M231" s="101" t="n">
        <f aca="false">IF(OR(A231="Insumo",A231="Composição Auxiliar"),J231,"")</f>
        <v>0.3</v>
      </c>
      <c r="N231" s="102" t="str">
        <f aca="false">IF(E231="Mão de Obra",J231,"")</f>
        <v/>
      </c>
      <c r="O231" s="102" t="n">
        <f aca="false">IF(N231&lt;&gt;"","",M231)</f>
        <v>0.3</v>
      </c>
      <c r="P231" s="103" t="str">
        <f aca="false">IF(A231="Composição",B231,"")</f>
        <v/>
      </c>
      <c r="Q231" s="102" t="str">
        <f aca="false">IF(P231&lt;&gt;"",SUMIF(L231:L331,L231,N231:N331),"")</f>
        <v/>
      </c>
      <c r="R231" s="102" t="str">
        <f aca="false">IF(P231&lt;&gt;"",SUMIF(L231:L331,L231,O231:O331),"")</f>
        <v/>
      </c>
    </row>
    <row r="232" customFormat="false" ht="14" hidden="false" customHeight="false" outlineLevel="0" collapsed="false">
      <c r="A232" s="143" t="s">
        <v>128</v>
      </c>
      <c r="B232" s="144" t="s">
        <v>129</v>
      </c>
      <c r="C232" s="143" t="str">
        <f aca="false">VLOOKUP(B232,INSUMOS!$A:$I,2,0)</f>
        <v>SINAPI</v>
      </c>
      <c r="D232" s="143" t="str">
        <f aca="false">VLOOKUP(B232,INSUMOS!$A:$I,3,0)</f>
        <v>ALIMENTACAO - HORISTA (COLETADO CAIXA)</v>
      </c>
      <c r="E232" s="143" t="str">
        <f aca="false">VLOOKUP(B232,INSUMOS!$A:$I,4,0)</f>
        <v>Outros</v>
      </c>
      <c r="F232" s="143"/>
      <c r="G232" s="145" t="str">
        <f aca="false">VLOOKUP(B232,INSUMOS!$A:$I,5,0)</f>
        <v>H</v>
      </c>
      <c r="H232" s="146" t="n">
        <v>1</v>
      </c>
      <c r="I232" s="147" t="n">
        <f aca="false">VLOOKUP(B232,INSUMOS!$A:$I,8,0)</f>
        <v>2.11</v>
      </c>
      <c r="J232" s="147" t="n">
        <f aca="false">TRUNC(H232*I232,2)</f>
        <v>2.11</v>
      </c>
      <c r="K232" s="217"/>
      <c r="L232" s="176" t="n">
        <f aca="false">IF(AND(A233&lt;&gt;"",A232=""),L231+1,L231)</f>
        <v>28</v>
      </c>
      <c r="M232" s="101" t="n">
        <f aca="false">IF(OR(A232="Insumo",A232="Composição Auxiliar"),J232,"")</f>
        <v>2.11</v>
      </c>
      <c r="N232" s="102" t="str">
        <f aca="false">IF(E232="Mão de Obra",J232,"")</f>
        <v/>
      </c>
      <c r="O232" s="102" t="n">
        <f aca="false">IF(N232&lt;&gt;"","",M232)</f>
        <v>2.11</v>
      </c>
      <c r="P232" s="103" t="str">
        <f aca="false">IF(A232="Composição",B232,"")</f>
        <v/>
      </c>
      <c r="Q232" s="102" t="str">
        <f aca="false">IF(P232&lt;&gt;"",SUMIF(L232:L332,L232,N232:N332),"")</f>
        <v/>
      </c>
      <c r="R232" s="102" t="str">
        <f aca="false">IF(P232&lt;&gt;"",SUMIF(L232:L332,L232,O232:O332),"")</f>
        <v/>
      </c>
    </row>
    <row r="233" customFormat="false" ht="14" hidden="false" customHeight="false" outlineLevel="0" collapsed="false">
      <c r="A233" s="143" t="s">
        <v>128</v>
      </c>
      <c r="B233" s="144" t="s">
        <v>297</v>
      </c>
      <c r="C233" s="143" t="str">
        <f aca="false">VLOOKUP(B233,INSUMOS!$A:$I,2,0)</f>
        <v>SINAPI</v>
      </c>
      <c r="D233" s="143" t="str">
        <f aca="false">VLOOKUP(B233,INSUMOS!$A:$I,3,0)</f>
        <v>ENCANADOR OU BOMBEIRO HIDRAULICO (HORISTA)</v>
      </c>
      <c r="E233" s="143" t="str">
        <f aca="false">VLOOKUP(B233,INSUMOS!$A:$I,4,0)</f>
        <v>Mão de Obra</v>
      </c>
      <c r="F233" s="143"/>
      <c r="G233" s="145" t="str">
        <f aca="false">VLOOKUP(B233,INSUMOS!$A:$I,5,0)</f>
        <v>H</v>
      </c>
      <c r="H233" s="146" t="n">
        <v>1</v>
      </c>
      <c r="I233" s="147" t="n">
        <f aca="false">VLOOKUP(B233,INSUMOS!$A:$I,8,0)</f>
        <v>20.55</v>
      </c>
      <c r="J233" s="147" t="n">
        <f aca="false">TRUNC(H233*I233,2)</f>
        <v>20.55</v>
      </c>
      <c r="K233" s="217"/>
      <c r="L233" s="176" t="n">
        <f aca="false">IF(AND(A234&lt;&gt;"",A233=""),L232+1,L232)</f>
        <v>28</v>
      </c>
      <c r="M233" s="101" t="n">
        <f aca="false">IF(OR(A233="Insumo",A233="Composição Auxiliar"),J233,"")</f>
        <v>20.55</v>
      </c>
      <c r="N233" s="102" t="n">
        <f aca="false">IF(E233="Mão de Obra",J233,"")</f>
        <v>20.55</v>
      </c>
      <c r="O233" s="102" t="str">
        <f aca="false">IF(N233&lt;&gt;"","",M233)</f>
        <v/>
      </c>
      <c r="P233" s="103" t="str">
        <f aca="false">IF(A233="Composição",B233,"")</f>
        <v/>
      </c>
      <c r="Q233" s="102" t="str">
        <f aca="false">IF(P233&lt;&gt;"",SUMIF(L233:L333,L233,N233:N333),"")</f>
        <v/>
      </c>
      <c r="R233" s="102" t="str">
        <f aca="false">IF(P233&lt;&gt;"",SUMIF(L233:L333,L233,O233:O333),"")</f>
        <v/>
      </c>
    </row>
    <row r="234" customFormat="false" ht="25" hidden="false" customHeight="true" outlineLevel="0" collapsed="false">
      <c r="A234" s="143" t="s">
        <v>128</v>
      </c>
      <c r="B234" s="144" t="s">
        <v>259</v>
      </c>
      <c r="C234" s="143" t="str">
        <f aca="false">VLOOKUP(B234,INSUMOS!$A:$I,2,0)</f>
        <v>SINAPI</v>
      </c>
      <c r="D234" s="143" t="str">
        <f aca="false">VLOOKUP(B234,INSUMOS!$A:$I,3,0)</f>
        <v>EPI - FAMILIA ENCANADOR - HORISTA (ENCARGOS COMPLEMENTARES - COLETADO CAIXA)</v>
      </c>
      <c r="E234" s="143" t="str">
        <f aca="false">VLOOKUP(B234,INSUMOS!$A:$I,4,0)</f>
        <v>Equipamento</v>
      </c>
      <c r="F234" s="143"/>
      <c r="G234" s="145" t="str">
        <f aca="false">VLOOKUP(B234,INSUMOS!$A:$I,5,0)</f>
        <v>H</v>
      </c>
      <c r="H234" s="146" t="n">
        <v>1</v>
      </c>
      <c r="I234" s="147" t="n">
        <f aca="false">VLOOKUP(B234,INSUMOS!$A:$I,8,0)</f>
        <v>0.94</v>
      </c>
      <c r="J234" s="147" t="n">
        <f aca="false">TRUNC(H234*I234,2)</f>
        <v>0.94</v>
      </c>
      <c r="K234" s="217"/>
      <c r="L234" s="176" t="n">
        <f aca="false">IF(AND(A235&lt;&gt;"",A234=""),L233+1,L233)</f>
        <v>28</v>
      </c>
      <c r="M234" s="101" t="n">
        <f aca="false">IF(OR(A234="Insumo",A234="Composição Auxiliar"),J234,"")</f>
        <v>0.94</v>
      </c>
      <c r="N234" s="102" t="str">
        <f aca="false">IF(E234="Mão de Obra",J234,"")</f>
        <v/>
      </c>
      <c r="O234" s="102" t="n">
        <f aca="false">IF(N234&lt;&gt;"","",M234)</f>
        <v>0.94</v>
      </c>
      <c r="P234" s="103" t="str">
        <f aca="false">IF(A234="Composição",B234,"")</f>
        <v/>
      </c>
      <c r="Q234" s="102" t="str">
        <f aca="false">IF(P234&lt;&gt;"",SUMIF(L234:L334,L234,N234:N334),"")</f>
        <v/>
      </c>
      <c r="R234" s="102" t="str">
        <f aca="false">IF(P234&lt;&gt;"",SUMIF(L234:L334,L234,O234:O334),"")</f>
        <v/>
      </c>
    </row>
    <row r="235" customFormat="false" ht="14" hidden="false" customHeight="false" outlineLevel="0" collapsed="false">
      <c r="A235" s="143" t="s">
        <v>128</v>
      </c>
      <c r="B235" s="144" t="s">
        <v>245</v>
      </c>
      <c r="C235" s="143" t="str">
        <f aca="false">VLOOKUP(B235,INSUMOS!$A:$I,2,0)</f>
        <v>SINAPI</v>
      </c>
      <c r="D235" s="143" t="str">
        <f aca="false">VLOOKUP(B235,INSUMOS!$A:$I,3,0)</f>
        <v>EXAMES - HORISTA (COLETADO CAIXA)</v>
      </c>
      <c r="E235" s="143" t="str">
        <f aca="false">VLOOKUP(B235,INSUMOS!$A:$I,4,0)</f>
        <v>Outros</v>
      </c>
      <c r="F235" s="143"/>
      <c r="G235" s="145" t="str">
        <f aca="false">VLOOKUP(B235,INSUMOS!$A:$I,5,0)</f>
        <v>H</v>
      </c>
      <c r="H235" s="146" t="n">
        <v>1</v>
      </c>
      <c r="I235" s="147" t="n">
        <f aca="false">VLOOKUP(B235,INSUMOS!$A:$I,8,0)</f>
        <v>0.81</v>
      </c>
      <c r="J235" s="147" t="n">
        <f aca="false">TRUNC(H235*I235,2)</f>
        <v>0.81</v>
      </c>
      <c r="K235" s="217"/>
      <c r="L235" s="176" t="n">
        <f aca="false">IF(AND(A236&lt;&gt;"",A235=""),L234+1,L234)</f>
        <v>28</v>
      </c>
      <c r="M235" s="101" t="n">
        <f aca="false">IF(OR(A235="Insumo",A235="Composição Auxiliar"),J235,"")</f>
        <v>0.81</v>
      </c>
      <c r="N235" s="102" t="str">
        <f aca="false">IF(E235="Mão de Obra",J235,"")</f>
        <v/>
      </c>
      <c r="O235" s="102" t="n">
        <f aca="false">IF(N235&lt;&gt;"","",M235)</f>
        <v>0.81</v>
      </c>
      <c r="P235" s="103" t="str">
        <f aca="false">IF(A235="Composição",B235,"")</f>
        <v/>
      </c>
      <c r="Q235" s="102" t="str">
        <f aca="false">IF(P235&lt;&gt;"",SUMIF(L235:L335,L235,N235:N335),"")</f>
        <v/>
      </c>
      <c r="R235" s="102" t="str">
        <f aca="false">IF(P235&lt;&gt;"",SUMIF(L235:L335,L235,O235:O335),"")</f>
        <v/>
      </c>
    </row>
    <row r="236" customFormat="false" ht="25" hidden="false" customHeight="true" outlineLevel="0" collapsed="false">
      <c r="A236" s="143" t="s">
        <v>128</v>
      </c>
      <c r="B236" s="144" t="s">
        <v>260</v>
      </c>
      <c r="C236" s="143" t="str">
        <f aca="false">VLOOKUP(B236,INSUMOS!$A:$I,2,0)</f>
        <v>SINAPI</v>
      </c>
      <c r="D236" s="143" t="str">
        <f aca="false">VLOOKUP(B236,INSUMOS!$A:$I,3,0)</f>
        <v>FERRAMENTAS - FAMILIA ENCANADOR - HORISTA (ENCARGOS COMPLEMENTARES - COLETADO CAIXA)</v>
      </c>
      <c r="E236" s="143" t="str">
        <f aca="false">VLOOKUP(B236,INSUMOS!$A:$I,4,0)</f>
        <v>Equipamento</v>
      </c>
      <c r="F236" s="143"/>
      <c r="G236" s="145" t="str">
        <f aca="false">VLOOKUP(B236,INSUMOS!$A:$I,5,0)</f>
        <v>H</v>
      </c>
      <c r="H236" s="146" t="n">
        <v>1</v>
      </c>
      <c r="I236" s="147" t="n">
        <f aca="false">VLOOKUP(B236,INSUMOS!$A:$I,8,0)</f>
        <v>0.32</v>
      </c>
      <c r="J236" s="147" t="n">
        <f aca="false">TRUNC(H236*I236,2)</f>
        <v>0.32</v>
      </c>
      <c r="K236" s="217"/>
      <c r="L236" s="176" t="n">
        <f aca="false">IF(AND(A237&lt;&gt;"",A236=""),L235+1,L235)</f>
        <v>28</v>
      </c>
      <c r="M236" s="101" t="n">
        <f aca="false">IF(OR(A236="Insumo",A236="Composição Auxiliar"),J236,"")</f>
        <v>0.32</v>
      </c>
      <c r="N236" s="102" t="str">
        <f aca="false">IF(E236="Mão de Obra",J236,"")</f>
        <v/>
      </c>
      <c r="O236" s="102" t="n">
        <f aca="false">IF(N236&lt;&gt;"","",M236)</f>
        <v>0.32</v>
      </c>
      <c r="P236" s="103" t="str">
        <f aca="false">IF(A236="Composição",B236,"")</f>
        <v/>
      </c>
      <c r="Q236" s="102" t="str">
        <f aca="false">IF(P236&lt;&gt;"",SUMIF(L236:L336,L236,N236:N336),"")</f>
        <v/>
      </c>
      <c r="R236" s="102" t="str">
        <f aca="false">IF(P236&lt;&gt;"",SUMIF(L236:L336,L236,O236:O336),"")</f>
        <v/>
      </c>
    </row>
    <row r="237" customFormat="false" ht="14" hidden="false" customHeight="false" outlineLevel="0" collapsed="false">
      <c r="A237" s="143" t="s">
        <v>128</v>
      </c>
      <c r="B237" s="144" t="s">
        <v>247</v>
      </c>
      <c r="C237" s="143" t="str">
        <f aca="false">VLOOKUP(B237,INSUMOS!$A:$I,2,0)</f>
        <v>SINAPI</v>
      </c>
      <c r="D237" s="143" t="str">
        <f aca="false">VLOOKUP(B237,INSUMOS!$A:$I,3,0)</f>
        <v>SEGURO - HORISTA (COLETADO CAIXA)</v>
      </c>
      <c r="E237" s="143" t="str">
        <f aca="false">VLOOKUP(B237,INSUMOS!$A:$I,4,0)</f>
        <v>Taxas</v>
      </c>
      <c r="F237" s="143"/>
      <c r="G237" s="145" t="str">
        <f aca="false">VLOOKUP(B237,INSUMOS!$A:$I,5,0)</f>
        <v>H</v>
      </c>
      <c r="H237" s="146" t="n">
        <v>1</v>
      </c>
      <c r="I237" s="147" t="n">
        <f aca="false">VLOOKUP(B237,INSUMOS!$A:$I,8,0)</f>
        <v>0.06</v>
      </c>
      <c r="J237" s="147" t="n">
        <f aca="false">TRUNC(H237*I237,2)</f>
        <v>0.06</v>
      </c>
      <c r="K237" s="217"/>
      <c r="L237" s="176" t="n">
        <f aca="false">IF(AND(A238&lt;&gt;"",A237=""),L236+1,L236)</f>
        <v>28</v>
      </c>
      <c r="M237" s="101" t="n">
        <f aca="false">IF(OR(A237="Insumo",A237="Composição Auxiliar"),J237,"")</f>
        <v>0.06</v>
      </c>
      <c r="N237" s="102" t="str">
        <f aca="false">IF(E237="Mão de Obra",J237,"")</f>
        <v/>
      </c>
      <c r="O237" s="102" t="n">
        <f aca="false">IF(N237&lt;&gt;"","",M237)</f>
        <v>0.06</v>
      </c>
      <c r="P237" s="103" t="str">
        <f aca="false">IF(A237="Composição",B237,"")</f>
        <v/>
      </c>
      <c r="Q237" s="102" t="str">
        <f aca="false">IF(P237&lt;&gt;"",SUMIF(L237:L337,L237,N237:N337),"")</f>
        <v/>
      </c>
      <c r="R237" s="102" t="str">
        <f aca="false">IF(P237&lt;&gt;"",SUMIF(L237:L337,L237,O237:O337),"")</f>
        <v/>
      </c>
    </row>
    <row r="238" customFormat="false" ht="25" hidden="false" customHeight="true" outlineLevel="0" collapsed="false">
      <c r="A238" s="143" t="s">
        <v>128</v>
      </c>
      <c r="B238" s="144" t="s">
        <v>255</v>
      </c>
      <c r="C238" s="143" t="str">
        <f aca="false">VLOOKUP(B238,INSUMOS!$A:$I,2,0)</f>
        <v>SINAPI</v>
      </c>
      <c r="D238" s="143" t="str">
        <f aca="false">VLOOKUP(B238,INSUMOS!$A:$I,3,0)</f>
        <v>TRANSPORTE - HORISTA (COLETADO CAIXA)</v>
      </c>
      <c r="E238" s="143" t="str">
        <f aca="false">VLOOKUP(B238,INSUMOS!$A:$I,4,0)</f>
        <v>Serviços</v>
      </c>
      <c r="F238" s="143"/>
      <c r="G238" s="145" t="str">
        <f aca="false">VLOOKUP(B238,INSUMOS!$A:$I,5,0)</f>
        <v>H</v>
      </c>
      <c r="H238" s="146" t="n">
        <v>1</v>
      </c>
      <c r="I238" s="147" t="n">
        <f aca="false">VLOOKUP(B238,INSUMOS!$A:$I,8,0)</f>
        <v>0.75</v>
      </c>
      <c r="J238" s="147" t="n">
        <f aca="false">TRUNC(H238*I238,2)</f>
        <v>0.75</v>
      </c>
      <c r="K238" s="217"/>
      <c r="L238" s="176" t="n">
        <f aca="false">IF(AND(A239&lt;&gt;"",A238=""),L237+1,L237)</f>
        <v>28</v>
      </c>
      <c r="M238" s="101" t="n">
        <f aca="false">IF(OR(A238="Insumo",A238="Composição Auxiliar"),J238,"")</f>
        <v>0.75</v>
      </c>
      <c r="N238" s="102" t="str">
        <f aca="false">IF(E238="Mão de Obra",J238,"")</f>
        <v/>
      </c>
      <c r="O238" s="102" t="n">
        <f aca="false">IF(N238&lt;&gt;"","",M238)</f>
        <v>0.75</v>
      </c>
      <c r="P238" s="103" t="str">
        <f aca="false">IF(A238="Composição",B238,"")</f>
        <v/>
      </c>
      <c r="Q238" s="102" t="str">
        <f aca="false">IF(P238&lt;&gt;"",SUMIF(L238:L338,L238,N238:N338),"")</f>
        <v/>
      </c>
      <c r="R238" s="102" t="str">
        <f aca="false">IF(P238&lt;&gt;"",SUMIF(L238:L338,L238,O238:O338),"")</f>
        <v/>
      </c>
    </row>
    <row r="239" customFormat="false" ht="25" hidden="false" customHeight="true" outlineLevel="0" collapsed="false">
      <c r="A239" s="149"/>
      <c r="B239" s="149"/>
      <c r="C239" s="149"/>
      <c r="D239" s="149"/>
      <c r="E239" s="149"/>
      <c r="F239" s="150"/>
      <c r="G239" s="149"/>
      <c r="H239" s="150"/>
      <c r="I239" s="149"/>
      <c r="J239" s="150"/>
      <c r="K239" s="217"/>
      <c r="L239" s="176" t="n">
        <f aca="false">IF(AND(A240&lt;&gt;"",A239=""),L238+1,L238)</f>
        <v>28</v>
      </c>
      <c r="M239" s="101" t="str">
        <f aca="false">IF(OR(A239="Insumo",A239="Composição Auxiliar"),J239,"")</f>
        <v/>
      </c>
      <c r="N239" s="102" t="str">
        <f aca="false">IF(E239="Mão de Obra",J239,"")</f>
        <v/>
      </c>
      <c r="O239" s="102" t="str">
        <f aca="false">IF(N239&lt;&gt;"","",M239)</f>
        <v/>
      </c>
      <c r="P239" s="103" t="str">
        <f aca="false">IF(A239="Composição",B239,"")</f>
        <v/>
      </c>
      <c r="Q239" s="102" t="str">
        <f aca="false">IF(P239&lt;&gt;"",SUMIF(L239:L339,L239,N239:N339),"")</f>
        <v/>
      </c>
      <c r="R239" s="102" t="str">
        <f aca="false">IF(P239&lt;&gt;"",SUMIF(L239:L339,L239,O239:O339),"")</f>
        <v/>
      </c>
    </row>
    <row r="240" customFormat="false" ht="14.5" hidden="false" customHeight="false" outlineLevel="0" collapsed="false">
      <c r="A240" s="149"/>
      <c r="B240" s="149"/>
      <c r="C240" s="149"/>
      <c r="D240" s="149"/>
      <c r="E240" s="149"/>
      <c r="F240" s="150"/>
      <c r="G240" s="149"/>
      <c r="H240" s="151"/>
      <c r="I240" s="151"/>
      <c r="J240" s="150"/>
      <c r="K240" s="217"/>
      <c r="L240" s="176" t="n">
        <f aca="false">IF(AND(A241&lt;&gt;"",A240=""),L239+1,L239)</f>
        <v>28</v>
      </c>
      <c r="M240" s="101" t="str">
        <f aca="false">IF(OR(A240="Insumo",A240="Composição Auxiliar"),J240,"")</f>
        <v/>
      </c>
      <c r="N240" s="102" t="str">
        <f aca="false">IF(E240="Mão de Obra",J240,"")</f>
        <v/>
      </c>
      <c r="O240" s="102" t="str">
        <f aca="false">IF(N240&lt;&gt;"","",M240)</f>
        <v/>
      </c>
      <c r="P240" s="103" t="str">
        <f aca="false">IF(A240="Composição",B240,"")</f>
        <v/>
      </c>
      <c r="Q240" s="102" t="str">
        <f aca="false">IF(P240&lt;&gt;"",SUMIF(L240:L340,L240,N240:N340),"")</f>
        <v/>
      </c>
      <c r="R240" s="102" t="str">
        <f aca="false">IF(P240&lt;&gt;"",SUMIF(L240:L340,L240,O240:O340),"")</f>
        <v/>
      </c>
    </row>
    <row r="241" customFormat="false" ht="14.5" hidden="false" customHeight="false" outlineLevel="0" collapsed="false">
      <c r="A241" s="155"/>
      <c r="B241" s="155"/>
      <c r="C241" s="155"/>
      <c r="D241" s="155"/>
      <c r="E241" s="155"/>
      <c r="F241" s="155"/>
      <c r="G241" s="155"/>
      <c r="H241" s="155"/>
      <c r="I241" s="155"/>
      <c r="J241" s="155"/>
      <c r="K241" s="217"/>
      <c r="L241" s="176" t="n">
        <f aca="false">IF(AND(A242&lt;&gt;"",A241=""),L240+1,L240)</f>
        <v>28</v>
      </c>
      <c r="M241" s="101" t="str">
        <f aca="false">IF(OR(A241="Insumo",A241="Composição Auxiliar"),J241,"")</f>
        <v/>
      </c>
      <c r="N241" s="102" t="str">
        <f aca="false">IF(E241="Mão de Obra",J241,"")</f>
        <v/>
      </c>
      <c r="O241" s="102" t="str">
        <f aca="false">IF(N241&lt;&gt;"","",M241)</f>
        <v/>
      </c>
      <c r="P241" s="103" t="str">
        <f aca="false">IF(A241="Composição",B241,"")</f>
        <v/>
      </c>
      <c r="Q241" s="102" t="str">
        <f aca="false">IF(P241&lt;&gt;"",SUMIF(L241:L341,L241,N241:N341),"")</f>
        <v/>
      </c>
      <c r="R241" s="102" t="str">
        <f aca="false">IF(P241&lt;&gt;"",SUMIF(L241:L341,L241,O241:O341),"")</f>
        <v/>
      </c>
    </row>
    <row r="242" customFormat="false" ht="14" hidden="false" customHeight="true" outlineLevel="0" collapsed="false">
      <c r="A242" s="118"/>
      <c r="B242" s="119" t="s">
        <v>115</v>
      </c>
      <c r="C242" s="118" t="s">
        <v>116</v>
      </c>
      <c r="D242" s="118" t="s">
        <v>117</v>
      </c>
      <c r="E242" s="118" t="s">
        <v>118</v>
      </c>
      <c r="F242" s="118"/>
      <c r="G242" s="120" t="s">
        <v>119</v>
      </c>
      <c r="H242" s="119" t="s">
        <v>120</v>
      </c>
      <c r="I242" s="119" t="s">
        <v>130</v>
      </c>
      <c r="J242" s="119" t="s">
        <v>131</v>
      </c>
      <c r="K242" s="217"/>
      <c r="L242" s="176" t="n">
        <f aca="false">IF(AND(A243&lt;&gt;"",A242=""),L241+1,L241)</f>
        <v>29</v>
      </c>
      <c r="M242" s="101" t="str">
        <f aca="false">IF(OR(A242="Insumo",A242="Composição Auxiliar"),J242,"")</f>
        <v/>
      </c>
      <c r="N242" s="102" t="str">
        <f aca="false">IF(E242="Mão de Obra",J242,"")</f>
        <v/>
      </c>
      <c r="O242" s="102" t="str">
        <f aca="false">IF(N242&lt;&gt;"","",M242)</f>
        <v/>
      </c>
      <c r="P242" s="103" t="str">
        <f aca="false">IF(A242="Composição",B242,"")</f>
        <v/>
      </c>
      <c r="Q242" s="102" t="str">
        <f aca="false">IF(P242&lt;&gt;"",SUMIF(L242:L342,L242,N242:N342),"")</f>
        <v/>
      </c>
      <c r="R242" s="102" t="str">
        <f aca="false">IF(P242&lt;&gt;"",SUMIF(L242:L342,L242,O242:O342),"")</f>
        <v/>
      </c>
    </row>
    <row r="243" customFormat="false" ht="50" hidden="false" customHeight="true" outlineLevel="0" collapsed="false">
      <c r="A243" s="122" t="s">
        <v>121</v>
      </c>
      <c r="B243" s="55" t="s">
        <v>192</v>
      </c>
      <c r="C243" s="122" t="s">
        <v>122</v>
      </c>
      <c r="D243" s="122" t="s">
        <v>193</v>
      </c>
      <c r="E243" s="122" t="s">
        <v>161</v>
      </c>
      <c r="F243" s="122"/>
      <c r="G243" s="123" t="s">
        <v>162</v>
      </c>
      <c r="H243" s="124" t="n">
        <v>1</v>
      </c>
      <c r="I243" s="125" t="n">
        <f aca="false">SUMIF(L:L,$L243,M:M)</f>
        <v>57.17</v>
      </c>
      <c r="J243" s="125" t="n">
        <f aca="false">TRUNC(H243*I243,2)</f>
        <v>57.17</v>
      </c>
      <c r="K243" s="217"/>
      <c r="L243" s="176" t="n">
        <f aca="false">IF(AND(A244&lt;&gt;"",A243=""),L242+1,L242)</f>
        <v>29</v>
      </c>
      <c r="M243" s="101" t="str">
        <f aca="false">IF(OR(A243="Insumo",A243="Composição Auxiliar"),J243,"")</f>
        <v/>
      </c>
      <c r="N243" s="102" t="str">
        <f aca="false">IF(E243="Mão de Obra",J243,"")</f>
        <v/>
      </c>
      <c r="O243" s="102" t="str">
        <f aca="false">IF(N243&lt;&gt;"","",M243)</f>
        <v/>
      </c>
      <c r="P243" s="103" t="str">
        <f aca="false">IF(A243="Composição",B243,"")</f>
        <v> 93403 </v>
      </c>
      <c r="Q243" s="102" t="n">
        <f aca="false">IF(P243&lt;&gt;"",SUMIF(L243:L343,L243,N243:N343),"")</f>
        <v>0</v>
      </c>
      <c r="R243" s="102" t="n">
        <f aca="false">IF(P243&lt;&gt;"",SUMIF(L243:L343,L243,O243:O343),"")</f>
        <v>57.17</v>
      </c>
    </row>
    <row r="244" customFormat="false" ht="14.15" hidden="false" customHeight="true" outlineLevel="0" collapsed="false">
      <c r="A244" s="129" t="s">
        <v>126</v>
      </c>
      <c r="B244" s="130" t="s">
        <v>315</v>
      </c>
      <c r="C244" s="129" t="s">
        <v>122</v>
      </c>
      <c r="D244" s="129" t="s">
        <v>316</v>
      </c>
      <c r="E244" s="129" t="s">
        <v>161</v>
      </c>
      <c r="F244" s="129"/>
      <c r="G244" s="131" t="s">
        <v>125</v>
      </c>
      <c r="H244" s="132" t="n">
        <v>1</v>
      </c>
      <c r="I244" s="133" t="n">
        <f aca="false">SUMIFS(J:J,A:A,"Composição",B:B,$B244)</f>
        <v>3.14</v>
      </c>
      <c r="J244" s="133" t="n">
        <f aca="false">TRUNC(H244*I244,2)</f>
        <v>3.14</v>
      </c>
      <c r="K244" s="217"/>
      <c r="L244" s="176" t="n">
        <f aca="false">IF(AND(A245&lt;&gt;"",A244=""),L243+1,L243)</f>
        <v>29</v>
      </c>
      <c r="M244" s="101" t="n">
        <f aca="false">IF(OR(A244="Insumo",A244="Composição Auxiliar"),J244,"")</f>
        <v>3.14</v>
      </c>
      <c r="N244" s="102" t="str">
        <f aca="false">IF(E244="Mão de Obra",J244,"")</f>
        <v/>
      </c>
      <c r="O244" s="102" t="n">
        <f aca="false">IF(N244&lt;&gt;"","",M244)</f>
        <v>3.14</v>
      </c>
      <c r="P244" s="103" t="str">
        <f aca="false">IF(A244="Composição",B244,"")</f>
        <v/>
      </c>
      <c r="Q244" s="102" t="str">
        <f aca="false">IF(P244&lt;&gt;"",SUMIF(L244:L344,L244,N244:N344),"")</f>
        <v/>
      </c>
      <c r="R244" s="102" t="str">
        <f aca="false">IF(P244&lt;&gt;"",SUMIF(L244:L344,L244,O244:O344),"")</f>
        <v/>
      </c>
    </row>
    <row r="245" customFormat="false" ht="50" hidden="false" customHeight="true" outlineLevel="0" collapsed="false">
      <c r="A245" s="129" t="s">
        <v>126</v>
      </c>
      <c r="B245" s="130" t="s">
        <v>317</v>
      </c>
      <c r="C245" s="129" t="s">
        <v>122</v>
      </c>
      <c r="D245" s="129" t="s">
        <v>318</v>
      </c>
      <c r="E245" s="129" t="s">
        <v>161</v>
      </c>
      <c r="F245" s="129"/>
      <c r="G245" s="131" t="s">
        <v>125</v>
      </c>
      <c r="H245" s="132" t="n">
        <v>1</v>
      </c>
      <c r="I245" s="133" t="n">
        <f aca="false">SUMIFS(J:J,A:A,"Composição",B:B,$B245)</f>
        <v>20.75</v>
      </c>
      <c r="J245" s="133" t="n">
        <f aca="false">TRUNC(H245*I245,2)</f>
        <v>20.75</v>
      </c>
      <c r="K245" s="217"/>
      <c r="L245" s="176" t="n">
        <f aca="false">IF(AND(A246&lt;&gt;"",A245=""),L244+1,L244)</f>
        <v>29</v>
      </c>
      <c r="M245" s="101" t="n">
        <f aca="false">IF(OR(A245="Insumo",A245="Composição Auxiliar"),J245,"")</f>
        <v>20.75</v>
      </c>
      <c r="N245" s="102" t="str">
        <f aca="false">IF(E245="Mão de Obra",J245,"")</f>
        <v/>
      </c>
      <c r="O245" s="102" t="n">
        <f aca="false">IF(N245&lt;&gt;"","",M245)</f>
        <v>20.75</v>
      </c>
      <c r="P245" s="103" t="str">
        <f aca="false">IF(A245="Composição",B245,"")</f>
        <v/>
      </c>
      <c r="Q245" s="102" t="str">
        <f aca="false">IF(P245&lt;&gt;"",SUMIF(L245:L345,L245,N245:N345),"")</f>
        <v/>
      </c>
      <c r="R245" s="102" t="str">
        <f aca="false">IF(P245&lt;&gt;"",SUMIF(L245:L345,L245,O245:O345),"")</f>
        <v/>
      </c>
    </row>
    <row r="246" customFormat="false" ht="25" hidden="false" customHeight="true" outlineLevel="0" collapsed="false">
      <c r="A246" s="129" t="s">
        <v>126</v>
      </c>
      <c r="B246" s="130" t="s">
        <v>319</v>
      </c>
      <c r="C246" s="129" t="s">
        <v>122</v>
      </c>
      <c r="D246" s="129" t="s">
        <v>320</v>
      </c>
      <c r="E246" s="129" t="s">
        <v>161</v>
      </c>
      <c r="F246" s="129"/>
      <c r="G246" s="131" t="s">
        <v>125</v>
      </c>
      <c r="H246" s="132" t="n">
        <v>1</v>
      </c>
      <c r="I246" s="133" t="n">
        <f aca="false">SUMIFS(J:J,A:A,"Composição",B:B,$B246)</f>
        <v>3.97</v>
      </c>
      <c r="J246" s="133" t="n">
        <f aca="false">TRUNC(H246*I246,2)</f>
        <v>3.97</v>
      </c>
      <c r="K246" s="217"/>
      <c r="L246" s="176" t="n">
        <f aca="false">IF(AND(A247&lt;&gt;"",A246=""),L245+1,L245)</f>
        <v>29</v>
      </c>
      <c r="M246" s="101" t="n">
        <f aca="false">IF(OR(A246="Insumo",A246="Composição Auxiliar"),J246,"")</f>
        <v>3.97</v>
      </c>
      <c r="N246" s="102" t="str">
        <f aca="false">IF(E246="Mão de Obra",J246,"")</f>
        <v/>
      </c>
      <c r="O246" s="102" t="n">
        <f aca="false">IF(N246&lt;&gt;"","",M246)</f>
        <v>3.97</v>
      </c>
      <c r="P246" s="103" t="str">
        <f aca="false">IF(A246="Composição",B246,"")</f>
        <v/>
      </c>
      <c r="Q246" s="102" t="str">
        <f aca="false">IF(P246&lt;&gt;"",SUMIF(L246:L346,L246,N246:N346),"")</f>
        <v/>
      </c>
      <c r="R246" s="102" t="str">
        <f aca="false">IF(P246&lt;&gt;"",SUMIF(L246:L346,L246,O246:O346),"")</f>
        <v/>
      </c>
    </row>
    <row r="247" customFormat="false" ht="25" hidden="false" customHeight="true" outlineLevel="0" collapsed="false">
      <c r="A247" s="129" t="s">
        <v>126</v>
      </c>
      <c r="B247" s="130" t="s">
        <v>188</v>
      </c>
      <c r="C247" s="129" t="s">
        <v>122</v>
      </c>
      <c r="D247" s="129" t="s">
        <v>189</v>
      </c>
      <c r="E247" s="129" t="s">
        <v>124</v>
      </c>
      <c r="F247" s="129"/>
      <c r="G247" s="131" t="s">
        <v>125</v>
      </c>
      <c r="H247" s="132" t="n">
        <v>1</v>
      </c>
      <c r="I247" s="133" t="n">
        <f aca="false">SUMIFS(J:J,A:A,"Composição",B:B,$B247)</f>
        <v>29.31</v>
      </c>
      <c r="J247" s="133" t="n">
        <f aca="false">TRUNC(H247*I247,2)</f>
        <v>29.31</v>
      </c>
      <c r="K247" s="217"/>
      <c r="L247" s="176" t="n">
        <f aca="false">IF(AND(A248&lt;&gt;"",A247=""),L246+1,L246)</f>
        <v>29</v>
      </c>
      <c r="M247" s="101" t="n">
        <f aca="false">IF(OR(A247="Insumo",A247="Composição Auxiliar"),J247,"")</f>
        <v>29.31</v>
      </c>
      <c r="N247" s="102" t="str">
        <f aca="false">IF(E247="Mão de Obra",J247,"")</f>
        <v/>
      </c>
      <c r="O247" s="102" t="n">
        <f aca="false">IF(N247&lt;&gt;"","",M247)</f>
        <v>29.31</v>
      </c>
      <c r="P247" s="103" t="str">
        <f aca="false">IF(A247="Composição",B247,"")</f>
        <v/>
      </c>
      <c r="Q247" s="102" t="str">
        <f aca="false">IF(P247&lt;&gt;"",SUMIF(L247:L347,L247,N247:N347),"")</f>
        <v/>
      </c>
      <c r="R247" s="102" t="str">
        <f aca="false">IF(P247&lt;&gt;"",SUMIF(L247:L347,L247,O247:O347),"")</f>
        <v/>
      </c>
    </row>
    <row r="248" customFormat="false" ht="14" hidden="false" customHeight="false" outlineLevel="0" collapsed="false">
      <c r="A248" s="149"/>
      <c r="B248" s="149"/>
      <c r="C248" s="149"/>
      <c r="D248" s="149"/>
      <c r="E248" s="149"/>
      <c r="F248" s="150"/>
      <c r="G248" s="149"/>
      <c r="H248" s="150"/>
      <c r="I248" s="149"/>
      <c r="J248" s="150"/>
      <c r="K248" s="217"/>
      <c r="L248" s="176" t="n">
        <f aca="false">IF(AND(A249&lt;&gt;"",A248=""),L247+1,L247)</f>
        <v>29</v>
      </c>
      <c r="M248" s="101" t="str">
        <f aca="false">IF(OR(A248="Insumo",A248="Composição Auxiliar"),J248,"")</f>
        <v/>
      </c>
      <c r="N248" s="102" t="str">
        <f aca="false">IF(E248="Mão de Obra",J248,"")</f>
        <v/>
      </c>
      <c r="O248" s="102" t="str">
        <f aca="false">IF(N248&lt;&gt;"","",M248)</f>
        <v/>
      </c>
      <c r="P248" s="103" t="str">
        <f aca="false">IF(A248="Composição",B248,"")</f>
        <v/>
      </c>
      <c r="Q248" s="102" t="str">
        <f aca="false">IF(P248&lt;&gt;"",SUMIF(L248:L348,L248,N248:N348),"")</f>
        <v/>
      </c>
      <c r="R248" s="102" t="str">
        <f aca="false">IF(P248&lt;&gt;"",SUMIF(L248:L348,L248,O248:O348),"")</f>
        <v/>
      </c>
    </row>
    <row r="249" customFormat="false" ht="25" hidden="false" customHeight="true" outlineLevel="0" collapsed="false">
      <c r="A249" s="149"/>
      <c r="B249" s="149"/>
      <c r="C249" s="149"/>
      <c r="D249" s="149"/>
      <c r="E249" s="149"/>
      <c r="F249" s="150"/>
      <c r="G249" s="149"/>
      <c r="H249" s="151"/>
      <c r="I249" s="151"/>
      <c r="J249" s="150"/>
      <c r="K249" s="217"/>
      <c r="L249" s="176" t="n">
        <f aca="false">IF(AND(A250&lt;&gt;"",A249=""),L248+1,L248)</f>
        <v>29</v>
      </c>
      <c r="M249" s="101" t="str">
        <f aca="false">IF(OR(A249="Insumo",A249="Composição Auxiliar"),J249,"")</f>
        <v/>
      </c>
      <c r="N249" s="102" t="str">
        <f aca="false">IF(E249="Mão de Obra",J249,"")</f>
        <v/>
      </c>
      <c r="O249" s="102" t="str">
        <f aca="false">IF(N249&lt;&gt;"","",M249)</f>
        <v/>
      </c>
      <c r="P249" s="103" t="str">
        <f aca="false">IF(A249="Composição",B249,"")</f>
        <v/>
      </c>
      <c r="Q249" s="102" t="str">
        <f aca="false">IF(P249&lt;&gt;"",SUMIF(L249:L349,L249,N249:N349),"")</f>
        <v/>
      </c>
      <c r="R249" s="102" t="str">
        <f aca="false">IF(P249&lt;&gt;"",SUMIF(L249:L349,L249,O249:O349),"")</f>
        <v/>
      </c>
    </row>
    <row r="250" customFormat="false" ht="14.5" hidden="false" customHeight="false" outlineLevel="0" collapsed="false">
      <c r="A250" s="155"/>
      <c r="B250" s="155"/>
      <c r="C250" s="155"/>
      <c r="D250" s="155"/>
      <c r="E250" s="155"/>
      <c r="F250" s="155"/>
      <c r="G250" s="155"/>
      <c r="H250" s="155"/>
      <c r="I250" s="155"/>
      <c r="J250" s="155"/>
      <c r="K250" s="217"/>
      <c r="L250" s="176" t="n">
        <f aca="false">IF(AND(A251&lt;&gt;"",A250=""),L249+1,L249)</f>
        <v>29</v>
      </c>
      <c r="M250" s="101" t="str">
        <f aca="false">IF(OR(A250="Insumo",A250="Composição Auxiliar"),J250,"")</f>
        <v/>
      </c>
      <c r="N250" s="102" t="str">
        <f aca="false">IF(E250="Mão de Obra",J250,"")</f>
        <v/>
      </c>
      <c r="O250" s="102" t="str">
        <f aca="false">IF(N250&lt;&gt;"","",M250)</f>
        <v/>
      </c>
      <c r="P250" s="103" t="str">
        <f aca="false">IF(A250="Composição",B250,"")</f>
        <v/>
      </c>
      <c r="Q250" s="102" t="str">
        <f aca="false">IF(P250&lt;&gt;"",SUMIF(L250:L350,L250,N250:N350),"")</f>
        <v/>
      </c>
      <c r="R250" s="102" t="str">
        <f aca="false">IF(P250&lt;&gt;"",SUMIF(L250:L350,L250,O250:O350),"")</f>
        <v/>
      </c>
    </row>
    <row r="251" customFormat="false" ht="25" hidden="false" customHeight="true" outlineLevel="0" collapsed="false">
      <c r="A251" s="118"/>
      <c r="B251" s="119" t="s">
        <v>115</v>
      </c>
      <c r="C251" s="118" t="s">
        <v>116</v>
      </c>
      <c r="D251" s="118" t="s">
        <v>117</v>
      </c>
      <c r="E251" s="118" t="s">
        <v>118</v>
      </c>
      <c r="F251" s="118"/>
      <c r="G251" s="120" t="s">
        <v>119</v>
      </c>
      <c r="H251" s="119" t="s">
        <v>120</v>
      </c>
      <c r="I251" s="119" t="s">
        <v>130</v>
      </c>
      <c r="J251" s="119" t="s">
        <v>131</v>
      </c>
      <c r="K251" s="217"/>
      <c r="L251" s="176" t="n">
        <f aca="false">IF(AND(A252&lt;&gt;"",A251=""),L250+1,L250)</f>
        <v>30</v>
      </c>
      <c r="M251" s="101" t="str">
        <f aca="false">IF(OR(A251="Insumo",A251="Composição Auxiliar"),J251,"")</f>
        <v/>
      </c>
      <c r="N251" s="102" t="str">
        <f aca="false">IF(E251="Mão de Obra",J251,"")</f>
        <v/>
      </c>
      <c r="O251" s="102" t="str">
        <f aca="false">IF(N251&lt;&gt;"","",M251)</f>
        <v/>
      </c>
      <c r="P251" s="103" t="str">
        <f aca="false">IF(A251="Composição",B251,"")</f>
        <v/>
      </c>
      <c r="Q251" s="102" t="str">
        <f aca="false">IF(P251&lt;&gt;"",SUMIF(L251:L351,L251,N251:N351),"")</f>
        <v/>
      </c>
      <c r="R251" s="102" t="str">
        <f aca="false">IF(P251&lt;&gt;"",SUMIF(L251:L351,L251,O251:O351),"")</f>
        <v/>
      </c>
    </row>
    <row r="252" customFormat="false" ht="25" hidden="false" customHeight="true" outlineLevel="0" collapsed="false">
      <c r="A252" s="122" t="s">
        <v>121</v>
      </c>
      <c r="B252" s="55" t="s">
        <v>190</v>
      </c>
      <c r="C252" s="122" t="s">
        <v>122</v>
      </c>
      <c r="D252" s="122" t="s">
        <v>191</v>
      </c>
      <c r="E252" s="122" t="s">
        <v>161</v>
      </c>
      <c r="F252" s="122"/>
      <c r="G252" s="123" t="s">
        <v>165</v>
      </c>
      <c r="H252" s="124" t="n">
        <v>1</v>
      </c>
      <c r="I252" s="125" t="n">
        <f aca="false">SUMIF(L:L,$L252,M:M)</f>
        <v>275.08</v>
      </c>
      <c r="J252" s="125" t="n">
        <f aca="false">TRUNC(H252*I252,2)</f>
        <v>275.08</v>
      </c>
      <c r="K252" s="217"/>
      <c r="L252" s="176" t="n">
        <f aca="false">IF(AND(A253&lt;&gt;"",A252=""),L251+1,L251)</f>
        <v>30</v>
      </c>
      <c r="M252" s="101" t="str">
        <f aca="false">IF(OR(A252="Insumo",A252="Composição Auxiliar"),J252,"")</f>
        <v/>
      </c>
      <c r="N252" s="102" t="str">
        <f aca="false">IF(E252="Mão de Obra",J252,"")</f>
        <v/>
      </c>
      <c r="O252" s="102" t="str">
        <f aca="false">IF(N252&lt;&gt;"","",M252)</f>
        <v/>
      </c>
      <c r="P252" s="103" t="str">
        <f aca="false">IF(A252="Composição",B252,"")</f>
        <v> 93402 </v>
      </c>
      <c r="Q252" s="102" t="n">
        <f aca="false">IF(P252&lt;&gt;"",SUMIF(L252:L352,L252,N252:N352),"")</f>
        <v>0</v>
      </c>
      <c r="R252" s="102" t="n">
        <f aca="false">IF(P252&lt;&gt;"",SUMIF(L252:L352,L252,O252:O352),"")</f>
        <v>275.08</v>
      </c>
    </row>
    <row r="253" customFormat="false" ht="50" hidden="false" customHeight="true" outlineLevel="0" collapsed="false">
      <c r="A253" s="129" t="s">
        <v>126</v>
      </c>
      <c r="B253" s="130" t="s">
        <v>315</v>
      </c>
      <c r="C253" s="129" t="s">
        <v>122</v>
      </c>
      <c r="D253" s="129" t="s">
        <v>316</v>
      </c>
      <c r="E253" s="129" t="s">
        <v>161</v>
      </c>
      <c r="F253" s="129"/>
      <c r="G253" s="131" t="s">
        <v>125</v>
      </c>
      <c r="H253" s="132" t="n">
        <v>1</v>
      </c>
      <c r="I253" s="133" t="n">
        <f aca="false">SUMIFS(J:J,A:A,"Composição",B:B,$B253)</f>
        <v>3.14</v>
      </c>
      <c r="J253" s="133" t="n">
        <f aca="false">TRUNC(H253*I253,2)</f>
        <v>3.14</v>
      </c>
      <c r="K253" s="217"/>
      <c r="L253" s="176" t="n">
        <f aca="false">IF(AND(A254&lt;&gt;"",A253=""),L252+1,L252)</f>
        <v>30</v>
      </c>
      <c r="M253" s="101" t="n">
        <f aca="false">IF(OR(A253="Insumo",A253="Composição Auxiliar"),J253,"")</f>
        <v>3.14</v>
      </c>
      <c r="N253" s="102" t="str">
        <f aca="false">IF(E253="Mão de Obra",J253,"")</f>
        <v/>
      </c>
      <c r="O253" s="102" t="n">
        <f aca="false">IF(N253&lt;&gt;"","",M253)</f>
        <v>3.14</v>
      </c>
      <c r="P253" s="103" t="str">
        <f aca="false">IF(A253="Composição",B253,"")</f>
        <v/>
      </c>
      <c r="Q253" s="102" t="str">
        <f aca="false">IF(P253&lt;&gt;"",SUMIF(L253:L353,L253,N253:N353),"")</f>
        <v/>
      </c>
      <c r="R253" s="102" t="str">
        <f aca="false">IF(P253&lt;&gt;"",SUMIF(L253:L353,L253,O253:O353),"")</f>
        <v/>
      </c>
    </row>
    <row r="254" customFormat="false" ht="50" hidden="false" customHeight="true" outlineLevel="0" collapsed="false">
      <c r="A254" s="129" t="s">
        <v>126</v>
      </c>
      <c r="B254" s="130" t="s">
        <v>317</v>
      </c>
      <c r="C254" s="129" t="s">
        <v>122</v>
      </c>
      <c r="D254" s="129" t="s">
        <v>318</v>
      </c>
      <c r="E254" s="129" t="s">
        <v>161</v>
      </c>
      <c r="F254" s="129"/>
      <c r="G254" s="131" t="s">
        <v>125</v>
      </c>
      <c r="H254" s="132" t="n">
        <v>1</v>
      </c>
      <c r="I254" s="133" t="n">
        <f aca="false">SUMIFS(J:J,A:A,"Composição",B:B,$B254)</f>
        <v>20.75</v>
      </c>
      <c r="J254" s="133" t="n">
        <f aca="false">TRUNC(H254*I254,2)</f>
        <v>20.75</v>
      </c>
      <c r="K254" s="217"/>
      <c r="L254" s="176" t="n">
        <f aca="false">IF(AND(A255&lt;&gt;"",A254=""),L253+1,L253)</f>
        <v>30</v>
      </c>
      <c r="M254" s="101" t="n">
        <f aca="false">IF(OR(A254="Insumo",A254="Composição Auxiliar"),J254,"")</f>
        <v>20.75</v>
      </c>
      <c r="N254" s="102" t="str">
        <f aca="false">IF(E254="Mão de Obra",J254,"")</f>
        <v/>
      </c>
      <c r="O254" s="102" t="n">
        <f aca="false">IF(N254&lt;&gt;"","",M254)</f>
        <v>20.75</v>
      </c>
      <c r="P254" s="103" t="str">
        <f aca="false">IF(A254="Composição",B254,"")</f>
        <v/>
      </c>
      <c r="Q254" s="102" t="str">
        <f aca="false">IF(P254&lt;&gt;"",SUMIF(L254:L354,L254,N254:N354),"")</f>
        <v/>
      </c>
      <c r="R254" s="102" t="str">
        <f aca="false">IF(P254&lt;&gt;"",SUMIF(L254:L354,L254,O254:O354),"")</f>
        <v/>
      </c>
    </row>
    <row r="255" customFormat="false" ht="50" hidden="false" customHeight="true" outlineLevel="0" collapsed="false">
      <c r="A255" s="129" t="s">
        <v>126</v>
      </c>
      <c r="B255" s="130" t="s">
        <v>319</v>
      </c>
      <c r="C255" s="129" t="s">
        <v>122</v>
      </c>
      <c r="D255" s="129" t="s">
        <v>320</v>
      </c>
      <c r="E255" s="129" t="s">
        <v>161</v>
      </c>
      <c r="F255" s="129"/>
      <c r="G255" s="131" t="s">
        <v>125</v>
      </c>
      <c r="H255" s="132" t="n">
        <v>1</v>
      </c>
      <c r="I255" s="133" t="n">
        <f aca="false">SUMIFS(J:J,A:A,"Composição",B:B,$B255)</f>
        <v>3.97</v>
      </c>
      <c r="J255" s="133" t="n">
        <f aca="false">TRUNC(H255*I255,2)</f>
        <v>3.97</v>
      </c>
      <c r="K255" s="217"/>
      <c r="L255" s="176" t="n">
        <f aca="false">IF(AND(A256&lt;&gt;"",A255=""),L254+1,L254)</f>
        <v>30</v>
      </c>
      <c r="M255" s="101" t="n">
        <f aca="false">IF(OR(A255="Insumo",A255="Composição Auxiliar"),J255,"")</f>
        <v>3.97</v>
      </c>
      <c r="N255" s="102" t="str">
        <f aca="false">IF(E255="Mão de Obra",J255,"")</f>
        <v/>
      </c>
      <c r="O255" s="102" t="n">
        <f aca="false">IF(N255&lt;&gt;"","",M255)</f>
        <v>3.97</v>
      </c>
      <c r="P255" s="103" t="str">
        <f aca="false">IF(A255="Composição",B255,"")</f>
        <v/>
      </c>
      <c r="Q255" s="102" t="str">
        <f aca="false">IF(P255&lt;&gt;"",SUMIF(L255:L355,L255,N255:N355),"")</f>
        <v/>
      </c>
      <c r="R255" s="102" t="str">
        <f aca="false">IF(P255&lt;&gt;"",SUMIF(L255:L355,L255,O255:O355),"")</f>
        <v/>
      </c>
    </row>
    <row r="256" customFormat="false" ht="50" hidden="false" customHeight="true" outlineLevel="0" collapsed="false">
      <c r="A256" s="129" t="s">
        <v>126</v>
      </c>
      <c r="B256" s="130" t="s">
        <v>321</v>
      </c>
      <c r="C256" s="129" t="s">
        <v>122</v>
      </c>
      <c r="D256" s="129" t="s">
        <v>322</v>
      </c>
      <c r="E256" s="129" t="s">
        <v>161</v>
      </c>
      <c r="F256" s="129"/>
      <c r="G256" s="131" t="s">
        <v>125</v>
      </c>
      <c r="H256" s="132" t="n">
        <v>1</v>
      </c>
      <c r="I256" s="133" t="n">
        <f aca="false">SUMIFS(J:J,A:A,"Composição",B:B,$B256)</f>
        <v>35.81</v>
      </c>
      <c r="J256" s="133" t="n">
        <f aca="false">TRUNC(H256*I256,2)</f>
        <v>35.81</v>
      </c>
      <c r="K256" s="217"/>
      <c r="L256" s="176" t="n">
        <f aca="false">IF(AND(A257&lt;&gt;"",A256=""),L255+1,L255)</f>
        <v>30</v>
      </c>
      <c r="M256" s="101" t="n">
        <f aca="false">IF(OR(A256="Insumo",A256="Composição Auxiliar"),J256,"")</f>
        <v>35.81</v>
      </c>
      <c r="N256" s="102" t="str">
        <f aca="false">IF(E256="Mão de Obra",J256,"")</f>
        <v/>
      </c>
      <c r="O256" s="102" t="n">
        <f aca="false">IF(N256&lt;&gt;"","",M256)</f>
        <v>35.81</v>
      </c>
      <c r="P256" s="103" t="str">
        <f aca="false">IF(A256="Composição",B256,"")</f>
        <v/>
      </c>
      <c r="Q256" s="102" t="str">
        <f aca="false">IF(P256&lt;&gt;"",SUMIF(L256:L356,L256,N256:N356),"")</f>
        <v/>
      </c>
      <c r="R256" s="102" t="str">
        <f aca="false">IF(P256&lt;&gt;"",SUMIF(L256:L356,L256,O256:O356),"")</f>
        <v/>
      </c>
    </row>
    <row r="257" customFormat="false" ht="50" hidden="false" customHeight="true" outlineLevel="0" collapsed="false">
      <c r="A257" s="129" t="s">
        <v>126</v>
      </c>
      <c r="B257" s="130" t="s">
        <v>323</v>
      </c>
      <c r="C257" s="129" t="s">
        <v>122</v>
      </c>
      <c r="D257" s="129" t="s">
        <v>324</v>
      </c>
      <c r="E257" s="129" t="s">
        <v>161</v>
      </c>
      <c r="F257" s="129"/>
      <c r="G257" s="131" t="s">
        <v>125</v>
      </c>
      <c r="H257" s="132" t="n">
        <v>1</v>
      </c>
      <c r="I257" s="133" t="n">
        <f aca="false">SUMIFS(J:J,A:A,"Composição",B:B,$B257)</f>
        <v>182.1</v>
      </c>
      <c r="J257" s="133" t="n">
        <f aca="false">TRUNC(H257*I257,2)</f>
        <v>182.1</v>
      </c>
      <c r="K257" s="217"/>
      <c r="L257" s="176" t="n">
        <f aca="false">IF(AND(A258&lt;&gt;"",A257=""),L256+1,L256)</f>
        <v>30</v>
      </c>
      <c r="M257" s="101" t="n">
        <f aca="false">IF(OR(A257="Insumo",A257="Composição Auxiliar"),J257,"")</f>
        <v>182.1</v>
      </c>
      <c r="N257" s="102" t="str">
        <f aca="false">IF(E257="Mão de Obra",J257,"")</f>
        <v/>
      </c>
      <c r="O257" s="102" t="n">
        <f aca="false">IF(N257&lt;&gt;"","",M257)</f>
        <v>182.1</v>
      </c>
      <c r="P257" s="103" t="str">
        <f aca="false">IF(A257="Composição",B257,"")</f>
        <v/>
      </c>
      <c r="Q257" s="102" t="str">
        <f aca="false">IF(P257&lt;&gt;"",SUMIF(L257:L357,L257,N257:N357),"")</f>
        <v/>
      </c>
      <c r="R257" s="102" t="str">
        <f aca="false">IF(P257&lt;&gt;"",SUMIF(L257:L357,L257,O257:O357),"")</f>
        <v/>
      </c>
    </row>
    <row r="258" customFormat="false" ht="25" hidden="false" customHeight="true" outlineLevel="0" collapsed="false">
      <c r="A258" s="129" t="s">
        <v>126</v>
      </c>
      <c r="B258" s="130" t="s">
        <v>188</v>
      </c>
      <c r="C258" s="129" t="s">
        <v>122</v>
      </c>
      <c r="D258" s="129" t="s">
        <v>189</v>
      </c>
      <c r="E258" s="129" t="s">
        <v>124</v>
      </c>
      <c r="F258" s="129"/>
      <c r="G258" s="131" t="s">
        <v>125</v>
      </c>
      <c r="H258" s="132" t="n">
        <v>1</v>
      </c>
      <c r="I258" s="133" t="n">
        <f aca="false">SUMIFS(J:J,A:A,"Composição",B:B,$B258)</f>
        <v>29.31</v>
      </c>
      <c r="J258" s="133" t="n">
        <f aca="false">TRUNC(H258*I258,2)</f>
        <v>29.31</v>
      </c>
      <c r="K258" s="217"/>
      <c r="L258" s="176" t="n">
        <f aca="false">IF(AND(A259&lt;&gt;"",A258=""),L257+1,L257)</f>
        <v>30</v>
      </c>
      <c r="M258" s="101" t="n">
        <f aca="false">IF(OR(A258="Insumo",A258="Composição Auxiliar"),J258,"")</f>
        <v>29.31</v>
      </c>
      <c r="N258" s="102" t="str">
        <f aca="false">IF(E258="Mão de Obra",J258,"")</f>
        <v/>
      </c>
      <c r="O258" s="102" t="n">
        <f aca="false">IF(N258&lt;&gt;"","",M258)</f>
        <v>29.31</v>
      </c>
      <c r="P258" s="103" t="str">
        <f aca="false">IF(A258="Composição",B258,"")</f>
        <v/>
      </c>
      <c r="Q258" s="102" t="str">
        <f aca="false">IF(P258&lt;&gt;"",SUMIF(L258:L358,L258,N258:N358),"")</f>
        <v/>
      </c>
      <c r="R258" s="102" t="str">
        <f aca="false">IF(P258&lt;&gt;"",SUMIF(L258:L358,L258,O258:O358),"")</f>
        <v/>
      </c>
    </row>
    <row r="259" customFormat="false" ht="14" hidden="false" customHeight="false" outlineLevel="0" collapsed="false">
      <c r="A259" s="149"/>
      <c r="B259" s="149"/>
      <c r="C259" s="149"/>
      <c r="D259" s="149"/>
      <c r="E259" s="149"/>
      <c r="F259" s="150"/>
      <c r="G259" s="149"/>
      <c r="H259" s="150"/>
      <c r="I259" s="149"/>
      <c r="J259" s="150"/>
      <c r="K259" s="217"/>
      <c r="L259" s="176" t="n">
        <f aca="false">IF(AND(A260&lt;&gt;"",A259=""),L258+1,L258)</f>
        <v>30</v>
      </c>
      <c r="M259" s="101" t="str">
        <f aca="false">IF(OR(A259="Insumo",A259="Composição Auxiliar"),J259,"")</f>
        <v/>
      </c>
      <c r="N259" s="102" t="str">
        <f aca="false">IF(E259="Mão de Obra",J259,"")</f>
        <v/>
      </c>
      <c r="O259" s="102" t="str">
        <f aca="false">IF(N259&lt;&gt;"","",M259)</f>
        <v/>
      </c>
      <c r="P259" s="103" t="str">
        <f aca="false">IF(A259="Composição",B259,"")</f>
        <v/>
      </c>
      <c r="Q259" s="102" t="str">
        <f aca="false">IF(P259&lt;&gt;"",SUMIF(L259:L359,L259,N259:N359),"")</f>
        <v/>
      </c>
      <c r="R259" s="102" t="str">
        <f aca="false">IF(P259&lt;&gt;"",SUMIF(L259:L359,L259,O259:O359),"")</f>
        <v/>
      </c>
    </row>
    <row r="260" customFormat="false" ht="14.5" hidden="false" customHeight="false" outlineLevel="0" collapsed="false">
      <c r="A260" s="149"/>
      <c r="B260" s="149"/>
      <c r="C260" s="149"/>
      <c r="D260" s="149"/>
      <c r="E260" s="149"/>
      <c r="F260" s="150"/>
      <c r="G260" s="149"/>
      <c r="H260" s="151"/>
      <c r="I260" s="151"/>
      <c r="J260" s="150"/>
      <c r="K260" s="217"/>
      <c r="L260" s="176" t="n">
        <f aca="false">IF(AND(A261&lt;&gt;"",A260=""),L259+1,L259)</f>
        <v>30</v>
      </c>
      <c r="M260" s="101" t="str">
        <f aca="false">IF(OR(A260="Insumo",A260="Composição Auxiliar"),J260,"")</f>
        <v/>
      </c>
      <c r="N260" s="102" t="str">
        <f aca="false">IF(E260="Mão de Obra",J260,"")</f>
        <v/>
      </c>
      <c r="O260" s="102" t="str">
        <f aca="false">IF(N260&lt;&gt;"","",M260)</f>
        <v/>
      </c>
      <c r="P260" s="103" t="str">
        <f aca="false">IF(A260="Composição",B260,"")</f>
        <v/>
      </c>
      <c r="Q260" s="102" t="str">
        <f aca="false">IF(P260&lt;&gt;"",SUMIF(L260:L360,L260,N260:N360),"")</f>
        <v/>
      </c>
      <c r="R260" s="102" t="str">
        <f aca="false">IF(P260&lt;&gt;"",SUMIF(L260:L360,L260,O260:O360),"")</f>
        <v/>
      </c>
    </row>
    <row r="261" customFormat="false" ht="14.5" hidden="false" customHeight="false" outlineLevel="0" collapsed="false">
      <c r="A261" s="155"/>
      <c r="B261" s="155"/>
      <c r="C261" s="155"/>
      <c r="D261" s="155"/>
      <c r="E261" s="155"/>
      <c r="F261" s="155"/>
      <c r="G261" s="155"/>
      <c r="H261" s="155"/>
      <c r="I261" s="155"/>
      <c r="J261" s="155"/>
      <c r="K261" s="217"/>
      <c r="L261" s="176" t="n">
        <f aca="false">IF(AND(A262&lt;&gt;"",A261=""),L260+1,L260)</f>
        <v>30</v>
      </c>
      <c r="M261" s="101" t="str">
        <f aca="false">IF(OR(A261="Insumo",A261="Composição Auxiliar"),J261,"")</f>
        <v/>
      </c>
      <c r="N261" s="102" t="str">
        <f aca="false">IF(E261="Mão de Obra",J261,"")</f>
        <v/>
      </c>
      <c r="O261" s="102" t="str">
        <f aca="false">IF(N261&lt;&gt;"","",M261)</f>
        <v/>
      </c>
      <c r="P261" s="103" t="str">
        <f aca="false">IF(A261="Composição",B261,"")</f>
        <v/>
      </c>
      <c r="Q261" s="102" t="str">
        <f aca="false">IF(P261&lt;&gt;"",SUMIF(L261:L361,L261,N261:N361),"")</f>
        <v/>
      </c>
      <c r="R261" s="102" t="str">
        <f aca="false">IF(P261&lt;&gt;"",SUMIF(L261:L361,L261,O261:O361),"")</f>
        <v/>
      </c>
    </row>
    <row r="262" customFormat="false" ht="14" hidden="false" customHeight="true" outlineLevel="0" collapsed="false">
      <c r="A262" s="118"/>
      <c r="B262" s="119" t="s">
        <v>115</v>
      </c>
      <c r="C262" s="118" t="s">
        <v>116</v>
      </c>
      <c r="D262" s="118" t="s">
        <v>117</v>
      </c>
      <c r="E262" s="118" t="s">
        <v>118</v>
      </c>
      <c r="F262" s="118"/>
      <c r="G262" s="120" t="s">
        <v>119</v>
      </c>
      <c r="H262" s="119" t="s">
        <v>120</v>
      </c>
      <c r="I262" s="119" t="s">
        <v>130</v>
      </c>
      <c r="J262" s="119" t="s">
        <v>131</v>
      </c>
      <c r="K262" s="217"/>
      <c r="L262" s="176" t="n">
        <f aca="false">IF(AND(A263&lt;&gt;"",A262=""),L261+1,L261)</f>
        <v>31</v>
      </c>
      <c r="M262" s="101" t="str">
        <f aca="false">IF(OR(A262="Insumo",A262="Composição Auxiliar"),J262,"")</f>
        <v/>
      </c>
      <c r="N262" s="102" t="str">
        <f aca="false">IF(E262="Mão de Obra",J262,"")</f>
        <v/>
      </c>
      <c r="O262" s="102" t="str">
        <f aca="false">IF(N262&lt;&gt;"","",M262)</f>
        <v/>
      </c>
      <c r="P262" s="103" t="str">
        <f aca="false">IF(A262="Composição",B262,"")</f>
        <v/>
      </c>
      <c r="Q262" s="102" t="str">
        <f aca="false">IF(P262&lt;&gt;"",SUMIF(L262:L362,L262,N262:N362),"")</f>
        <v/>
      </c>
      <c r="R262" s="102" t="str">
        <f aca="false">IF(P262&lt;&gt;"",SUMIF(L262:L362,L262,O262:O362),"")</f>
        <v/>
      </c>
    </row>
    <row r="263" customFormat="false" ht="50" hidden="false" customHeight="true" outlineLevel="0" collapsed="false">
      <c r="A263" s="122" t="s">
        <v>121</v>
      </c>
      <c r="B263" s="55" t="s">
        <v>317</v>
      </c>
      <c r="C263" s="122" t="s">
        <v>122</v>
      </c>
      <c r="D263" s="122" t="s">
        <v>318</v>
      </c>
      <c r="E263" s="122" t="s">
        <v>161</v>
      </c>
      <c r="F263" s="122"/>
      <c r="G263" s="123" t="s">
        <v>125</v>
      </c>
      <c r="H263" s="124" t="n">
        <v>1</v>
      </c>
      <c r="I263" s="125" t="n">
        <f aca="false">SUMIF(L:L,$L263,M:M)</f>
        <v>20.75</v>
      </c>
      <c r="J263" s="125" t="n">
        <f aca="false">TRUNC(H263*I263,2)</f>
        <v>20.75</v>
      </c>
      <c r="K263" s="217"/>
      <c r="L263" s="176" t="n">
        <f aca="false">IF(AND(A264&lt;&gt;"",A263=""),L262+1,L262)</f>
        <v>31</v>
      </c>
      <c r="M263" s="101" t="str">
        <f aca="false">IF(OR(A263="Insumo",A263="Composição Auxiliar"),J263,"")</f>
        <v/>
      </c>
      <c r="N263" s="102" t="str">
        <f aca="false">IF(E263="Mão de Obra",J263,"")</f>
        <v/>
      </c>
      <c r="O263" s="102" t="str">
        <f aca="false">IF(N263&lt;&gt;"","",M263)</f>
        <v/>
      </c>
      <c r="P263" s="103" t="str">
        <f aca="false">IF(A263="Composição",B263,"")</f>
        <v> 93397 </v>
      </c>
      <c r="Q263" s="102" t="n">
        <f aca="false">IF(P263&lt;&gt;"",SUMIF(L263:L363,L263,N263:N363),"")</f>
        <v>0</v>
      </c>
      <c r="R263" s="102" t="n">
        <f aca="false">IF(P263&lt;&gt;"",SUMIF(L263:L363,L263,O263:O363),"")</f>
        <v>20.75</v>
      </c>
    </row>
    <row r="264" customFormat="false" ht="37.5" hidden="false" customHeight="false" outlineLevel="0" collapsed="false">
      <c r="A264" s="143" t="s">
        <v>128</v>
      </c>
      <c r="B264" s="144" t="s">
        <v>325</v>
      </c>
      <c r="C264" s="143" t="str">
        <f aca="false">VLOOKUP(B264,INSUMOS!$A:$I,2,0)</f>
        <v>SINAPI</v>
      </c>
      <c r="D264" s="143" t="str">
        <f aca="false">VLOOKUP(B264,INSUMOS!$A:$I,3,0)</f>
        <v>CAMINHAO TOCO, PESO BRUTO TOTAL 16000 KG, CARGA UTIL MAXIMA 11030 KG, DISTANCIA ENTRE EIXOS 5,41 M, POTENCIA 185 CV (INCLUI CABINE E CHASSI, NAO INCLUI CARROCERIA)</v>
      </c>
      <c r="E264" s="143" t="str">
        <f aca="false">VLOOKUP(B264,INSUMOS!$A:$I,4,0)</f>
        <v>Equipamento</v>
      </c>
      <c r="F264" s="143"/>
      <c r="G264" s="145" t="str">
        <f aca="false">VLOOKUP(B264,INSUMOS!$A:$I,5,0)</f>
        <v>UN</v>
      </c>
      <c r="H264" s="146" t="n">
        <v>3.43E-005</v>
      </c>
      <c r="I264" s="147" t="n">
        <f aca="false">VLOOKUP(B264,INSUMOS!$A:$I,8,0)</f>
        <v>459729.71</v>
      </c>
      <c r="J264" s="147" t="n">
        <f aca="false">TRUNC(H264*I264,2)</f>
        <v>15.76</v>
      </c>
      <c r="K264" s="217"/>
      <c r="L264" s="176" t="n">
        <f aca="false">IF(AND(A265&lt;&gt;"",A264=""),L263+1,L263)</f>
        <v>31</v>
      </c>
      <c r="M264" s="101" t="n">
        <f aca="false">IF(OR(A264="Insumo",A264="Composição Auxiliar"),J264,"")</f>
        <v>15.76</v>
      </c>
      <c r="N264" s="102" t="str">
        <f aca="false">IF(E264="Mão de Obra",J264,"")</f>
        <v/>
      </c>
      <c r="O264" s="102" t="n">
        <f aca="false">IF(N264&lt;&gt;"","",M264)</f>
        <v>15.76</v>
      </c>
      <c r="P264" s="103" t="str">
        <f aca="false">IF(A264="Composição",B264,"")</f>
        <v/>
      </c>
      <c r="Q264" s="102" t="str">
        <f aca="false">IF(P264&lt;&gt;"",SUMIF(L264:L364,L264,N264:N364),"")</f>
        <v/>
      </c>
      <c r="R264" s="102" t="str">
        <f aca="false">IF(P264&lt;&gt;"",SUMIF(L264:L364,L264,O264:O364),"")</f>
        <v/>
      </c>
    </row>
    <row r="265" customFormat="false" ht="50" hidden="false" customHeight="false" outlineLevel="0" collapsed="false">
      <c r="A265" s="143" t="s">
        <v>128</v>
      </c>
      <c r="B265" s="144" t="s">
        <v>326</v>
      </c>
      <c r="C265" s="143" t="str">
        <f aca="false">VLOOKUP(B265,INSUMOS!$A:$I,2,0)</f>
        <v>SINAPI</v>
      </c>
      <c r="D265" s="143" t="str">
        <f aca="false">VLOOKUP(B265,INSUMOS!$A:$I,3,0)</f>
        <v>GUINDAUTO HIDRAULICO, CAPACIDADE MAXIMA DE CARGA 3300 KG, MOMENTO MAXIMO DE CARGA 5,8 TM , ALCANCE MAXIMO HORIZONTAL  7,60 M, PARA MONTAGEM SOBRE CHASSI DE CAMINHAO PBT MINIMO 8000 KG (INCLUI MONTAGEM, NAO INCLUI CAMINHAO)</v>
      </c>
      <c r="E265" s="143" t="str">
        <f aca="false">VLOOKUP(B265,INSUMOS!$A:$I,4,0)</f>
        <v>Equipamento</v>
      </c>
      <c r="F265" s="143"/>
      <c r="G265" s="145" t="str">
        <f aca="false">VLOOKUP(B265,INSUMOS!$A:$I,5,0)</f>
        <v>UN</v>
      </c>
      <c r="H265" s="146" t="n">
        <v>5.51E-005</v>
      </c>
      <c r="I265" s="147" t="n">
        <f aca="false">VLOOKUP(B265,INSUMOS!$A:$I,8,0)</f>
        <v>90715.62</v>
      </c>
      <c r="J265" s="147" t="n">
        <f aca="false">TRUNC(H265*I265,2)</f>
        <v>4.99</v>
      </c>
      <c r="K265" s="217"/>
      <c r="L265" s="176" t="n">
        <f aca="false">IF(AND(A266&lt;&gt;"",A265=""),L264+1,L264)</f>
        <v>31</v>
      </c>
      <c r="M265" s="101" t="n">
        <f aca="false">IF(OR(A265="Insumo",A265="Composição Auxiliar"),J265,"")</f>
        <v>4.99</v>
      </c>
      <c r="N265" s="102" t="str">
        <f aca="false">IF(E265="Mão de Obra",J265,"")</f>
        <v/>
      </c>
      <c r="O265" s="102" t="n">
        <f aca="false">IF(N265&lt;&gt;"","",M265)</f>
        <v>4.99</v>
      </c>
      <c r="P265" s="103" t="str">
        <f aca="false">IF(A265="Composição",B265,"")</f>
        <v/>
      </c>
      <c r="Q265" s="102" t="str">
        <f aca="false">IF(P265&lt;&gt;"",SUMIF(L265:L365,L265,N265:N365),"")</f>
        <v/>
      </c>
      <c r="R265" s="102" t="str">
        <f aca="false">IF(P265&lt;&gt;"",SUMIF(L265:L365,L265,O265:O365),"")</f>
        <v/>
      </c>
    </row>
    <row r="266" customFormat="false" ht="37.5" hidden="false" customHeight="true" outlineLevel="0" collapsed="false">
      <c r="A266" s="149"/>
      <c r="B266" s="149"/>
      <c r="C266" s="149"/>
      <c r="D266" s="149"/>
      <c r="E266" s="149"/>
      <c r="F266" s="150"/>
      <c r="G266" s="149"/>
      <c r="H266" s="150"/>
      <c r="I266" s="149"/>
      <c r="J266" s="150"/>
      <c r="K266" s="217"/>
      <c r="L266" s="176" t="n">
        <f aca="false">IF(AND(A267&lt;&gt;"",A266=""),L265+1,L265)</f>
        <v>31</v>
      </c>
      <c r="M266" s="101" t="str">
        <f aca="false">IF(OR(A266="Insumo",A266="Composição Auxiliar"),J266,"")</f>
        <v/>
      </c>
      <c r="N266" s="102" t="str">
        <f aca="false">IF(E266="Mão de Obra",J266,"")</f>
        <v/>
      </c>
      <c r="O266" s="102" t="str">
        <f aca="false">IF(N266&lt;&gt;"","",M266)</f>
        <v/>
      </c>
      <c r="P266" s="103" t="str">
        <f aca="false">IF(A266="Composição",B266,"")</f>
        <v/>
      </c>
      <c r="Q266" s="102" t="str">
        <f aca="false">IF(P266&lt;&gt;"",SUMIF(L266:L366,L266,N266:N366),"")</f>
        <v/>
      </c>
      <c r="R266" s="102" t="str">
        <f aca="false">IF(P266&lt;&gt;"",SUMIF(L266:L366,L266,O266:O366),"")</f>
        <v/>
      </c>
    </row>
    <row r="267" customFormat="false" ht="37.5" hidden="false" customHeight="true" outlineLevel="0" collapsed="false">
      <c r="A267" s="149"/>
      <c r="B267" s="149"/>
      <c r="C267" s="149"/>
      <c r="D267" s="149"/>
      <c r="E267" s="149"/>
      <c r="F267" s="150"/>
      <c r="G267" s="149"/>
      <c r="H267" s="151"/>
      <c r="I267" s="151"/>
      <c r="J267" s="150"/>
      <c r="K267" s="217"/>
      <c r="L267" s="176" t="n">
        <f aca="false">IF(AND(A268&lt;&gt;"",A267=""),L266+1,L266)</f>
        <v>31</v>
      </c>
      <c r="M267" s="101" t="str">
        <f aca="false">IF(OR(A267="Insumo",A267="Composição Auxiliar"),J267,"")</f>
        <v/>
      </c>
      <c r="N267" s="102" t="str">
        <f aca="false">IF(E267="Mão de Obra",J267,"")</f>
        <v/>
      </c>
      <c r="O267" s="102" t="str">
        <f aca="false">IF(N267&lt;&gt;"","",M267)</f>
        <v/>
      </c>
      <c r="P267" s="103" t="str">
        <f aca="false">IF(A267="Composição",B267,"")</f>
        <v/>
      </c>
      <c r="Q267" s="102" t="str">
        <f aca="false">IF(P267&lt;&gt;"",SUMIF(L267:L367,L267,N267:N367),"")</f>
        <v/>
      </c>
      <c r="R267" s="102" t="str">
        <f aca="false">IF(P267&lt;&gt;"",SUMIF(L267:L367,L267,O267:O367),"")</f>
        <v/>
      </c>
    </row>
    <row r="268" customFormat="false" ht="37.5" hidden="false" customHeight="true" outlineLevel="0" collapsed="false">
      <c r="A268" s="155"/>
      <c r="B268" s="155"/>
      <c r="C268" s="155"/>
      <c r="D268" s="155"/>
      <c r="E268" s="155"/>
      <c r="F268" s="155"/>
      <c r="G268" s="155"/>
      <c r="H268" s="155"/>
      <c r="I268" s="155"/>
      <c r="J268" s="155"/>
      <c r="K268" s="217"/>
      <c r="L268" s="176" t="n">
        <f aca="false">IF(AND(A269&lt;&gt;"",A268=""),L267+1,L267)</f>
        <v>31</v>
      </c>
      <c r="M268" s="101" t="str">
        <f aca="false">IF(OR(A268="Insumo",A268="Composição Auxiliar"),J268,"")</f>
        <v/>
      </c>
      <c r="N268" s="102" t="str">
        <f aca="false">IF(E268="Mão de Obra",J268,"")</f>
        <v/>
      </c>
      <c r="O268" s="102" t="str">
        <f aca="false">IF(N268&lt;&gt;"","",M268)</f>
        <v/>
      </c>
      <c r="P268" s="103" t="str">
        <f aca="false">IF(A268="Composição",B268,"")</f>
        <v/>
      </c>
      <c r="Q268" s="102" t="str">
        <f aca="false">IF(P268&lt;&gt;"",SUMIF(L268:L368,L268,N268:N368),"")</f>
        <v/>
      </c>
      <c r="R268" s="102" t="str">
        <f aca="false">IF(P268&lt;&gt;"",SUMIF(L268:L368,L268,O268:O368),"")</f>
        <v/>
      </c>
    </row>
    <row r="269" customFormat="false" ht="14" hidden="false" customHeight="true" outlineLevel="0" collapsed="false">
      <c r="A269" s="118"/>
      <c r="B269" s="119" t="s">
        <v>115</v>
      </c>
      <c r="C269" s="118" t="s">
        <v>116</v>
      </c>
      <c r="D269" s="118" t="s">
        <v>117</v>
      </c>
      <c r="E269" s="118" t="s">
        <v>118</v>
      </c>
      <c r="F269" s="118"/>
      <c r="G269" s="120" t="s">
        <v>119</v>
      </c>
      <c r="H269" s="119" t="s">
        <v>120</v>
      </c>
      <c r="I269" s="119" t="s">
        <v>130</v>
      </c>
      <c r="J269" s="119" t="s">
        <v>131</v>
      </c>
      <c r="K269" s="217"/>
      <c r="L269" s="176" t="n">
        <f aca="false">IF(AND(A270&lt;&gt;"",A269=""),L268+1,L268)</f>
        <v>32</v>
      </c>
      <c r="M269" s="101" t="str">
        <f aca="false">IF(OR(A269="Insumo",A269="Composição Auxiliar"),J269,"")</f>
        <v/>
      </c>
      <c r="N269" s="102" t="str">
        <f aca="false">IF(E269="Mão de Obra",J269,"")</f>
        <v/>
      </c>
      <c r="O269" s="102" t="str">
        <f aca="false">IF(N269&lt;&gt;"","",M269)</f>
        <v/>
      </c>
      <c r="P269" s="103" t="str">
        <f aca="false">IF(A269="Composição",B269,"")</f>
        <v/>
      </c>
      <c r="Q269" s="102" t="str">
        <f aca="false">IF(P269&lt;&gt;"",SUMIF(L269:L369,L269,N269:N369),"")</f>
        <v/>
      </c>
      <c r="R269" s="102" t="str">
        <f aca="false">IF(P269&lt;&gt;"",SUMIF(L269:L369,L269,O269:O369),"")</f>
        <v/>
      </c>
    </row>
    <row r="270" customFormat="false" ht="50" hidden="false" customHeight="true" outlineLevel="0" collapsed="false">
      <c r="A270" s="122" t="s">
        <v>121</v>
      </c>
      <c r="B270" s="55" t="s">
        <v>319</v>
      </c>
      <c r="C270" s="122" t="s">
        <v>122</v>
      </c>
      <c r="D270" s="122" t="s">
        <v>320</v>
      </c>
      <c r="E270" s="122" t="s">
        <v>161</v>
      </c>
      <c r="F270" s="122"/>
      <c r="G270" s="123" t="s">
        <v>125</v>
      </c>
      <c r="H270" s="124" t="n">
        <v>1</v>
      </c>
      <c r="I270" s="125" t="n">
        <f aca="false">SUMIF(L:L,$L270,M:M)</f>
        <v>3.97</v>
      </c>
      <c r="J270" s="125" t="n">
        <f aca="false">TRUNC(H270*I270,2)</f>
        <v>3.97</v>
      </c>
      <c r="K270" s="217"/>
      <c r="L270" s="176" t="n">
        <f aca="false">IF(AND(A271&lt;&gt;"",A270=""),L269+1,L269)</f>
        <v>32</v>
      </c>
      <c r="M270" s="101" t="str">
        <f aca="false">IF(OR(A270="Insumo",A270="Composição Auxiliar"),J270,"")</f>
        <v/>
      </c>
      <c r="N270" s="102" t="str">
        <f aca="false">IF(E270="Mão de Obra",J270,"")</f>
        <v/>
      </c>
      <c r="O270" s="102" t="str">
        <f aca="false">IF(N270&lt;&gt;"","",M270)</f>
        <v/>
      </c>
      <c r="P270" s="103" t="str">
        <f aca="false">IF(A270="Composição",B270,"")</f>
        <v> 93398 </v>
      </c>
      <c r="Q270" s="102" t="n">
        <f aca="false">IF(P270&lt;&gt;"",SUMIF(L270:L370,L270,N270:N370),"")</f>
        <v>0</v>
      </c>
      <c r="R270" s="102" t="n">
        <f aca="false">IF(P270&lt;&gt;"",SUMIF(L270:L370,L270,O270:O370),"")</f>
        <v>3.97</v>
      </c>
    </row>
    <row r="271" customFormat="false" ht="37.5" hidden="false" customHeight="false" outlineLevel="0" collapsed="false">
      <c r="A271" s="143" t="s">
        <v>128</v>
      </c>
      <c r="B271" s="144" t="s">
        <v>325</v>
      </c>
      <c r="C271" s="143" t="str">
        <f aca="false">VLOOKUP(B271,INSUMOS!$A:$I,2,0)</f>
        <v>SINAPI</v>
      </c>
      <c r="D271" s="143" t="str">
        <f aca="false">VLOOKUP(B271,INSUMOS!$A:$I,3,0)</f>
        <v>CAMINHAO TOCO, PESO BRUTO TOTAL 16000 KG, CARGA UTIL MAXIMA 11030 KG, DISTANCIA ENTRE EIXOS 5,41 M, POTENCIA 185 CV (INCLUI CABINE E CHASSI, NAO INCLUI CARROCERIA)</v>
      </c>
      <c r="E271" s="143" t="str">
        <f aca="false">VLOOKUP(B271,INSUMOS!$A:$I,4,0)</f>
        <v>Equipamento</v>
      </c>
      <c r="F271" s="143"/>
      <c r="G271" s="145" t="str">
        <f aca="false">VLOOKUP(B271,INSUMOS!$A:$I,5,0)</f>
        <v>UN</v>
      </c>
      <c r="H271" s="146" t="n">
        <v>7.2E-006</v>
      </c>
      <c r="I271" s="147" t="n">
        <f aca="false">VLOOKUP(B271,INSUMOS!$A:$I,8,0)</f>
        <v>459729.71</v>
      </c>
      <c r="J271" s="147" t="n">
        <f aca="false">TRUNC(H271*I271,2)</f>
        <v>3.31</v>
      </c>
      <c r="K271" s="217"/>
      <c r="L271" s="176" t="n">
        <f aca="false">IF(AND(A272&lt;&gt;"",A271=""),L270+1,L270)</f>
        <v>32</v>
      </c>
      <c r="M271" s="101" t="n">
        <f aca="false">IF(OR(A271="Insumo",A271="Composição Auxiliar"),J271,"")</f>
        <v>3.31</v>
      </c>
      <c r="N271" s="102" t="str">
        <f aca="false">IF(E271="Mão de Obra",J271,"")</f>
        <v/>
      </c>
      <c r="O271" s="102" t="n">
        <f aca="false">IF(N271&lt;&gt;"","",M271)</f>
        <v>3.31</v>
      </c>
      <c r="P271" s="103" t="str">
        <f aca="false">IF(A271="Composição",B271,"")</f>
        <v/>
      </c>
      <c r="Q271" s="102" t="str">
        <f aca="false">IF(P271&lt;&gt;"",SUMIF(L271:L371,L271,N271:N371),"")</f>
        <v/>
      </c>
      <c r="R271" s="102" t="str">
        <f aca="false">IF(P271&lt;&gt;"",SUMIF(L271:L371,L271,O271:O371),"")</f>
        <v/>
      </c>
    </row>
    <row r="272" customFormat="false" ht="50" hidden="false" customHeight="false" outlineLevel="0" collapsed="false">
      <c r="A272" s="143" t="s">
        <v>128</v>
      </c>
      <c r="B272" s="144" t="s">
        <v>326</v>
      </c>
      <c r="C272" s="143" t="str">
        <f aca="false">VLOOKUP(B272,INSUMOS!$A:$I,2,0)</f>
        <v>SINAPI</v>
      </c>
      <c r="D272" s="143" t="str">
        <f aca="false">VLOOKUP(B272,INSUMOS!$A:$I,3,0)</f>
        <v>GUINDAUTO HIDRAULICO, CAPACIDADE MAXIMA DE CARGA 3300 KG, MOMENTO MAXIMO DE CARGA 5,8 TM , ALCANCE MAXIMO HORIZONTAL  7,60 M, PARA MONTAGEM SOBRE CHASSI DE CAMINHAO PBT MINIMO 8000 KG (INCLUI MONTAGEM, NAO INCLUI CAMINHAO)</v>
      </c>
      <c r="E272" s="143" t="str">
        <f aca="false">VLOOKUP(B272,INSUMOS!$A:$I,4,0)</f>
        <v>Equipamento</v>
      </c>
      <c r="F272" s="143"/>
      <c r="G272" s="145" t="str">
        <f aca="false">VLOOKUP(B272,INSUMOS!$A:$I,5,0)</f>
        <v>UN</v>
      </c>
      <c r="H272" s="146" t="n">
        <v>7.3E-006</v>
      </c>
      <c r="I272" s="147" t="n">
        <f aca="false">VLOOKUP(B272,INSUMOS!$A:$I,8,0)</f>
        <v>90715.62</v>
      </c>
      <c r="J272" s="147" t="n">
        <f aca="false">TRUNC(H272*I272,2)</f>
        <v>0.66</v>
      </c>
      <c r="K272" s="217"/>
      <c r="L272" s="176" t="n">
        <f aca="false">IF(AND(A273&lt;&gt;"",A272=""),L271+1,L271)</f>
        <v>32</v>
      </c>
      <c r="M272" s="101" t="n">
        <f aca="false">IF(OR(A272="Insumo",A272="Composição Auxiliar"),J272,"")</f>
        <v>0.66</v>
      </c>
      <c r="N272" s="102" t="str">
        <f aca="false">IF(E272="Mão de Obra",J272,"")</f>
        <v/>
      </c>
      <c r="O272" s="102" t="n">
        <f aca="false">IF(N272&lt;&gt;"","",M272)</f>
        <v>0.66</v>
      </c>
      <c r="P272" s="103" t="str">
        <f aca="false">IF(A272="Composição",B272,"")</f>
        <v/>
      </c>
      <c r="Q272" s="102" t="str">
        <f aca="false">IF(P272&lt;&gt;"",SUMIF(L272:L372,L272,N272:N372),"")</f>
        <v/>
      </c>
      <c r="R272" s="102" t="str">
        <f aca="false">IF(P272&lt;&gt;"",SUMIF(L272:L372,L272,O272:O372),"")</f>
        <v/>
      </c>
    </row>
    <row r="273" customFormat="false" ht="37.5" hidden="false" customHeight="true" outlineLevel="0" collapsed="false">
      <c r="A273" s="149"/>
      <c r="B273" s="149"/>
      <c r="C273" s="149"/>
      <c r="D273" s="149"/>
      <c r="E273" s="149"/>
      <c r="F273" s="150"/>
      <c r="G273" s="149"/>
      <c r="H273" s="150"/>
      <c r="I273" s="149"/>
      <c r="J273" s="150"/>
      <c r="K273" s="217"/>
      <c r="L273" s="176" t="n">
        <f aca="false">IF(AND(A274&lt;&gt;"",A273=""),L272+1,L272)</f>
        <v>32</v>
      </c>
      <c r="M273" s="101" t="str">
        <f aca="false">IF(OR(A273="Insumo",A273="Composição Auxiliar"),J273,"")</f>
        <v/>
      </c>
      <c r="N273" s="102" t="str">
        <f aca="false">IF(E273="Mão de Obra",J273,"")</f>
        <v/>
      </c>
      <c r="O273" s="102" t="str">
        <f aca="false">IF(N273&lt;&gt;"","",M273)</f>
        <v/>
      </c>
      <c r="P273" s="103" t="str">
        <f aca="false">IF(A273="Composição",B273,"")</f>
        <v/>
      </c>
      <c r="Q273" s="102" t="str">
        <f aca="false">IF(P273&lt;&gt;"",SUMIF(L273:L373,L273,N273:N373),"")</f>
        <v/>
      </c>
      <c r="R273" s="102" t="str">
        <f aca="false">IF(P273&lt;&gt;"",SUMIF(L273:L373,L273,O273:O373),"")</f>
        <v/>
      </c>
    </row>
    <row r="274" customFormat="false" ht="37.5" hidden="false" customHeight="true" outlineLevel="0" collapsed="false">
      <c r="A274" s="149"/>
      <c r="B274" s="149"/>
      <c r="C274" s="149"/>
      <c r="D274" s="149"/>
      <c r="E274" s="149"/>
      <c r="F274" s="150"/>
      <c r="G274" s="149"/>
      <c r="H274" s="151"/>
      <c r="I274" s="151"/>
      <c r="J274" s="150"/>
      <c r="K274" s="217"/>
      <c r="L274" s="176" t="n">
        <f aca="false">IF(AND(A275&lt;&gt;"",A274=""),L273+1,L273)</f>
        <v>32</v>
      </c>
      <c r="M274" s="101" t="str">
        <f aca="false">IF(OR(A274="Insumo",A274="Composição Auxiliar"),J274,"")</f>
        <v/>
      </c>
      <c r="N274" s="102" t="str">
        <f aca="false">IF(E274="Mão de Obra",J274,"")</f>
        <v/>
      </c>
      <c r="O274" s="102" t="str">
        <f aca="false">IF(N274&lt;&gt;"","",M274)</f>
        <v/>
      </c>
      <c r="P274" s="103" t="str">
        <f aca="false">IF(A274="Composição",B274,"")</f>
        <v/>
      </c>
      <c r="Q274" s="102" t="str">
        <f aca="false">IF(P274&lt;&gt;"",SUMIF(L274:L374,L274,N274:N374),"")</f>
        <v/>
      </c>
      <c r="R274" s="102" t="str">
        <f aca="false">IF(P274&lt;&gt;"",SUMIF(L274:L374,L274,O274:O374),"")</f>
        <v/>
      </c>
    </row>
    <row r="275" customFormat="false" ht="37.5" hidden="false" customHeight="true" outlineLevel="0" collapsed="false">
      <c r="A275" s="155"/>
      <c r="B275" s="155"/>
      <c r="C275" s="155"/>
      <c r="D275" s="155"/>
      <c r="E275" s="155"/>
      <c r="F275" s="155"/>
      <c r="G275" s="155"/>
      <c r="H275" s="155"/>
      <c r="I275" s="155"/>
      <c r="J275" s="155"/>
      <c r="K275" s="217"/>
      <c r="L275" s="176" t="n">
        <f aca="false">IF(AND(A276&lt;&gt;"",A275=""),L274+1,L274)</f>
        <v>32</v>
      </c>
      <c r="M275" s="101" t="str">
        <f aca="false">IF(OR(A275="Insumo",A275="Composição Auxiliar"),J275,"")</f>
        <v/>
      </c>
      <c r="N275" s="102" t="str">
        <f aca="false">IF(E275="Mão de Obra",J275,"")</f>
        <v/>
      </c>
      <c r="O275" s="102" t="str">
        <f aca="false">IF(N275&lt;&gt;"","",M275)</f>
        <v/>
      </c>
      <c r="P275" s="103" t="str">
        <f aca="false">IF(A275="Composição",B275,"")</f>
        <v/>
      </c>
      <c r="Q275" s="102" t="str">
        <f aca="false">IF(P275&lt;&gt;"",SUMIF(L275:L375,L275,N275:N375),"")</f>
        <v/>
      </c>
      <c r="R275" s="102" t="str">
        <f aca="false">IF(P275&lt;&gt;"",SUMIF(L275:L375,L275,O275:O375),"")</f>
        <v/>
      </c>
    </row>
    <row r="276" customFormat="false" ht="37.5" hidden="false" customHeight="true" outlineLevel="0" collapsed="false">
      <c r="A276" s="118"/>
      <c r="B276" s="119" t="s">
        <v>115</v>
      </c>
      <c r="C276" s="118" t="s">
        <v>116</v>
      </c>
      <c r="D276" s="118" t="s">
        <v>117</v>
      </c>
      <c r="E276" s="118" t="s">
        <v>118</v>
      </c>
      <c r="F276" s="118"/>
      <c r="G276" s="120" t="s">
        <v>119</v>
      </c>
      <c r="H276" s="119" t="s">
        <v>120</v>
      </c>
      <c r="I276" s="119" t="s">
        <v>130</v>
      </c>
      <c r="J276" s="119" t="s">
        <v>131</v>
      </c>
      <c r="K276" s="217"/>
      <c r="L276" s="176" t="n">
        <f aca="false">IF(AND(A277&lt;&gt;"",A276=""),L275+1,L275)</f>
        <v>33</v>
      </c>
      <c r="M276" s="101" t="str">
        <f aca="false">IF(OR(A276="Insumo",A276="Composição Auxiliar"),J276,"")</f>
        <v/>
      </c>
      <c r="N276" s="102" t="str">
        <f aca="false">IF(E276="Mão de Obra",J276,"")</f>
        <v/>
      </c>
      <c r="O276" s="102" t="str">
        <f aca="false">IF(N276&lt;&gt;"","",M276)</f>
        <v/>
      </c>
      <c r="P276" s="103" t="str">
        <f aca="false">IF(A276="Composição",B276,"")</f>
        <v/>
      </c>
      <c r="Q276" s="102" t="str">
        <f aca="false">IF(P276&lt;&gt;"",SUMIF(L276:L376,L276,N276:N376),"")</f>
        <v/>
      </c>
      <c r="R276" s="102" t="str">
        <f aca="false">IF(P276&lt;&gt;"",SUMIF(L276:L376,L276,O276:O376),"")</f>
        <v/>
      </c>
    </row>
    <row r="277" customFormat="false" ht="37.5" hidden="false" customHeight="true" outlineLevel="0" collapsed="false">
      <c r="A277" s="122" t="s">
        <v>121</v>
      </c>
      <c r="B277" s="55" t="s">
        <v>321</v>
      </c>
      <c r="C277" s="122" t="s">
        <v>122</v>
      </c>
      <c r="D277" s="122" t="s">
        <v>322</v>
      </c>
      <c r="E277" s="122" t="s">
        <v>161</v>
      </c>
      <c r="F277" s="122"/>
      <c r="G277" s="123" t="s">
        <v>125</v>
      </c>
      <c r="H277" s="124" t="n">
        <v>1</v>
      </c>
      <c r="I277" s="125" t="n">
        <f aca="false">SUMIF(L:L,$L277,M:M)</f>
        <v>35.81</v>
      </c>
      <c r="J277" s="125" t="n">
        <f aca="false">TRUNC(H277*I277,2)</f>
        <v>35.81</v>
      </c>
      <c r="K277" s="217"/>
      <c r="L277" s="176" t="n">
        <f aca="false">IF(AND(A278&lt;&gt;"",A277=""),L276+1,L276)</f>
        <v>33</v>
      </c>
      <c r="M277" s="101" t="str">
        <f aca="false">IF(OR(A277="Insumo",A277="Composição Auxiliar"),J277,"")</f>
        <v/>
      </c>
      <c r="N277" s="102" t="str">
        <f aca="false">IF(E277="Mão de Obra",J277,"")</f>
        <v/>
      </c>
      <c r="O277" s="102" t="str">
        <f aca="false">IF(N277&lt;&gt;"","",M277)</f>
        <v/>
      </c>
      <c r="P277" s="103" t="str">
        <f aca="false">IF(A277="Composição",B277,"")</f>
        <v> 93400 </v>
      </c>
      <c r="Q277" s="102" t="n">
        <f aca="false">IF(P277&lt;&gt;"",SUMIF(L277:L377,L277,N277:N377),"")</f>
        <v>0</v>
      </c>
      <c r="R277" s="102" t="n">
        <f aca="false">IF(P277&lt;&gt;"",SUMIF(L277:L377,L277,O277:O377),"")</f>
        <v>35.81</v>
      </c>
    </row>
    <row r="278" customFormat="false" ht="37.5" hidden="false" customHeight="false" outlineLevel="0" collapsed="false">
      <c r="A278" s="143" t="s">
        <v>128</v>
      </c>
      <c r="B278" s="144" t="s">
        <v>325</v>
      </c>
      <c r="C278" s="143" t="str">
        <f aca="false">VLOOKUP(B278,INSUMOS!$A:$I,2,0)</f>
        <v>SINAPI</v>
      </c>
      <c r="D278" s="143" t="str">
        <f aca="false">VLOOKUP(B278,INSUMOS!$A:$I,3,0)</f>
        <v>CAMINHAO TOCO, PESO BRUTO TOTAL 16000 KG, CARGA UTIL MAXIMA 11030 KG, DISTANCIA ENTRE EIXOS 5,41 M, POTENCIA 185 CV (INCLUI CABINE E CHASSI, NAO INCLUI CARROCERIA)</v>
      </c>
      <c r="E278" s="143" t="str">
        <f aca="false">VLOOKUP(B278,INSUMOS!$A:$I,4,0)</f>
        <v>Equipamento</v>
      </c>
      <c r="F278" s="143"/>
      <c r="G278" s="145" t="str">
        <f aca="false">VLOOKUP(B278,INSUMOS!$A:$I,5,0)</f>
        <v>UN</v>
      </c>
      <c r="H278" s="146" t="n">
        <v>6.43E-005</v>
      </c>
      <c r="I278" s="147" t="n">
        <f aca="false">VLOOKUP(B278,INSUMOS!$A:$I,8,0)</f>
        <v>459729.71</v>
      </c>
      <c r="J278" s="147" t="n">
        <f aca="false">TRUNC(H278*I278,2)</f>
        <v>29.56</v>
      </c>
      <c r="K278" s="217"/>
      <c r="L278" s="176" t="n">
        <f aca="false">IF(AND(A279&lt;&gt;"",A278=""),L277+1,L277)</f>
        <v>33</v>
      </c>
      <c r="M278" s="101" t="n">
        <f aca="false">IF(OR(A278="Insumo",A278="Composição Auxiliar"),J278,"")</f>
        <v>29.56</v>
      </c>
      <c r="N278" s="102" t="str">
        <f aca="false">IF(E278="Mão de Obra",J278,"")</f>
        <v/>
      </c>
      <c r="O278" s="102" t="n">
        <f aca="false">IF(N278&lt;&gt;"","",M278)</f>
        <v>29.56</v>
      </c>
      <c r="P278" s="103" t="str">
        <f aca="false">IF(A278="Composição",B278,"")</f>
        <v/>
      </c>
      <c r="Q278" s="102" t="str">
        <f aca="false">IF(P278&lt;&gt;"",SUMIF(L278:L378,L278,N278:N378),"")</f>
        <v/>
      </c>
      <c r="R278" s="102" t="str">
        <f aca="false">IF(P278&lt;&gt;"",SUMIF(L278:L378,L278,O278:O378),"")</f>
        <v/>
      </c>
    </row>
    <row r="279" customFormat="false" ht="50" hidden="false" customHeight="false" outlineLevel="0" collapsed="false">
      <c r="A279" s="143" t="s">
        <v>128</v>
      </c>
      <c r="B279" s="144" t="s">
        <v>326</v>
      </c>
      <c r="C279" s="143" t="str">
        <f aca="false">VLOOKUP(B279,INSUMOS!$A:$I,2,0)</f>
        <v>SINAPI</v>
      </c>
      <c r="D279" s="143" t="str">
        <f aca="false">VLOOKUP(B279,INSUMOS!$A:$I,3,0)</f>
        <v>GUINDAUTO HIDRAULICO, CAPACIDADE MAXIMA DE CARGA 3300 KG, MOMENTO MAXIMO DE CARGA 5,8 TM , ALCANCE MAXIMO HORIZONTAL  7,60 M, PARA MONTAGEM SOBRE CHASSI DE CAMINHAO PBT MINIMO 8000 KG (INCLUI MONTAGEM, NAO INCLUI CAMINHAO)</v>
      </c>
      <c r="E279" s="143" t="str">
        <f aca="false">VLOOKUP(B279,INSUMOS!$A:$I,4,0)</f>
        <v>Equipamento</v>
      </c>
      <c r="F279" s="143"/>
      <c r="G279" s="145" t="str">
        <f aca="false">VLOOKUP(B279,INSUMOS!$A:$I,5,0)</f>
        <v>UN</v>
      </c>
      <c r="H279" s="146" t="n">
        <v>6.89E-005</v>
      </c>
      <c r="I279" s="147" t="n">
        <f aca="false">VLOOKUP(B279,INSUMOS!$A:$I,8,0)</f>
        <v>90715.62</v>
      </c>
      <c r="J279" s="147" t="n">
        <f aca="false">TRUNC(H279*I279,2)</f>
        <v>6.25</v>
      </c>
      <c r="K279" s="217"/>
      <c r="L279" s="176" t="n">
        <f aca="false">IF(AND(A280&lt;&gt;"",A279=""),L278+1,L278)</f>
        <v>33</v>
      </c>
      <c r="M279" s="101" t="n">
        <f aca="false">IF(OR(A279="Insumo",A279="Composição Auxiliar"),J279,"")</f>
        <v>6.25</v>
      </c>
      <c r="N279" s="102" t="str">
        <f aca="false">IF(E279="Mão de Obra",J279,"")</f>
        <v/>
      </c>
      <c r="O279" s="102" t="n">
        <f aca="false">IF(N279&lt;&gt;"","",M279)</f>
        <v>6.25</v>
      </c>
      <c r="P279" s="103" t="str">
        <f aca="false">IF(A279="Composição",B279,"")</f>
        <v/>
      </c>
      <c r="Q279" s="102" t="str">
        <f aca="false">IF(P279&lt;&gt;"",SUMIF(L279:L379,L279,N279:N379),"")</f>
        <v/>
      </c>
      <c r="R279" s="102" t="str">
        <f aca="false">IF(P279&lt;&gt;"",SUMIF(L279:L379,L279,O279:O379),"")</f>
        <v/>
      </c>
    </row>
    <row r="280" customFormat="false" ht="14" hidden="false" customHeight="false" outlineLevel="0" collapsed="false">
      <c r="A280" s="149"/>
      <c r="B280" s="149"/>
      <c r="C280" s="149"/>
      <c r="D280" s="149"/>
      <c r="E280" s="149"/>
      <c r="F280" s="150"/>
      <c r="G280" s="149"/>
      <c r="H280" s="150"/>
      <c r="I280" s="149"/>
      <c r="J280" s="150"/>
      <c r="K280" s="217"/>
      <c r="L280" s="176" t="n">
        <f aca="false">IF(AND(A281&lt;&gt;"",A280=""),L279+1,L279)</f>
        <v>33</v>
      </c>
      <c r="M280" s="101" t="str">
        <f aca="false">IF(OR(A280="Insumo",A280="Composição Auxiliar"),J280,"")</f>
        <v/>
      </c>
      <c r="N280" s="102" t="str">
        <f aca="false">IF(E280="Mão de Obra",J280,"")</f>
        <v/>
      </c>
      <c r="O280" s="102" t="str">
        <f aca="false">IF(N280&lt;&gt;"","",M280)</f>
        <v/>
      </c>
      <c r="P280" s="103" t="str">
        <f aca="false">IF(A280="Composição",B280,"")</f>
        <v/>
      </c>
      <c r="Q280" s="102" t="str">
        <f aca="false">IF(P280&lt;&gt;"",SUMIF(L280:L380,L280,N280:N380),"")</f>
        <v/>
      </c>
      <c r="R280" s="102" t="str">
        <f aca="false">IF(P280&lt;&gt;"",SUMIF(L280:L380,L280,O280:O380),"")</f>
        <v/>
      </c>
    </row>
    <row r="281" customFormat="false" ht="14.5" hidden="false" customHeight="false" outlineLevel="0" collapsed="false">
      <c r="A281" s="149"/>
      <c r="B281" s="149"/>
      <c r="C281" s="149"/>
      <c r="D281" s="149"/>
      <c r="E281" s="149"/>
      <c r="F281" s="150"/>
      <c r="G281" s="149"/>
      <c r="H281" s="151"/>
      <c r="I281" s="151"/>
      <c r="J281" s="150"/>
      <c r="K281" s="217"/>
      <c r="L281" s="176" t="n">
        <f aca="false">IF(AND(A282&lt;&gt;"",A281=""),L280+1,L280)</f>
        <v>33</v>
      </c>
      <c r="M281" s="101" t="str">
        <f aca="false">IF(OR(A281="Insumo",A281="Composição Auxiliar"),J281,"")</f>
        <v/>
      </c>
      <c r="N281" s="102" t="str">
        <f aca="false">IF(E281="Mão de Obra",J281,"")</f>
        <v/>
      </c>
      <c r="O281" s="102" t="str">
        <f aca="false">IF(N281&lt;&gt;"","",M281)</f>
        <v/>
      </c>
      <c r="P281" s="103" t="str">
        <f aca="false">IF(A281="Composição",B281,"")</f>
        <v/>
      </c>
      <c r="Q281" s="102" t="str">
        <f aca="false">IF(P281&lt;&gt;"",SUMIF(L281:L381,L281,N281:N381),"")</f>
        <v/>
      </c>
      <c r="R281" s="102" t="str">
        <f aca="false">IF(P281&lt;&gt;"",SUMIF(L281:L381,L281,O281:O381),"")</f>
        <v/>
      </c>
    </row>
    <row r="282" customFormat="false" ht="37.5" hidden="false" customHeight="true" outlineLevel="0" collapsed="false">
      <c r="A282" s="155"/>
      <c r="B282" s="155"/>
      <c r="C282" s="155"/>
      <c r="D282" s="155"/>
      <c r="E282" s="155"/>
      <c r="F282" s="155"/>
      <c r="G282" s="155"/>
      <c r="H282" s="155"/>
      <c r="I282" s="155"/>
      <c r="J282" s="155"/>
      <c r="K282" s="217"/>
      <c r="L282" s="176" t="n">
        <f aca="false">IF(AND(A283&lt;&gt;"",A282=""),L281+1,L281)</f>
        <v>33</v>
      </c>
      <c r="M282" s="101" t="str">
        <f aca="false">IF(OR(A282="Insumo",A282="Composição Auxiliar"),J282,"")</f>
        <v/>
      </c>
      <c r="N282" s="102" t="str">
        <f aca="false">IF(E282="Mão de Obra",J282,"")</f>
        <v/>
      </c>
      <c r="O282" s="102" t="str">
        <f aca="false">IF(N282&lt;&gt;"","",M282)</f>
        <v/>
      </c>
      <c r="P282" s="103" t="str">
        <f aca="false">IF(A282="Composição",B282,"")</f>
        <v/>
      </c>
      <c r="Q282" s="102" t="str">
        <f aca="false">IF(P282&lt;&gt;"",SUMIF(L282:L382,L282,N282:N382),"")</f>
        <v/>
      </c>
      <c r="R282" s="102" t="str">
        <f aca="false">IF(P282&lt;&gt;"",SUMIF(L282:L382,L282,O282:O382),"")</f>
        <v/>
      </c>
    </row>
    <row r="283" customFormat="false" ht="14" hidden="false" customHeight="true" outlineLevel="0" collapsed="false">
      <c r="A283" s="118"/>
      <c r="B283" s="119" t="s">
        <v>115</v>
      </c>
      <c r="C283" s="118" t="s">
        <v>116</v>
      </c>
      <c r="D283" s="118" t="s">
        <v>117</v>
      </c>
      <c r="E283" s="118" t="s">
        <v>118</v>
      </c>
      <c r="F283" s="118"/>
      <c r="G283" s="120" t="s">
        <v>119</v>
      </c>
      <c r="H283" s="119" t="s">
        <v>120</v>
      </c>
      <c r="I283" s="119" t="s">
        <v>130</v>
      </c>
      <c r="J283" s="119" t="s">
        <v>131</v>
      </c>
      <c r="K283" s="217"/>
      <c r="L283" s="176" t="n">
        <f aca="false">IF(AND(A284&lt;&gt;"",A283=""),L282+1,L282)</f>
        <v>34</v>
      </c>
      <c r="M283" s="101" t="str">
        <f aca="false">IF(OR(A283="Insumo",A283="Composição Auxiliar"),J283,"")</f>
        <v/>
      </c>
      <c r="N283" s="102" t="str">
        <f aca="false">IF(E283="Mão de Obra",J283,"")</f>
        <v/>
      </c>
      <c r="O283" s="102" t="str">
        <f aca="false">IF(N283&lt;&gt;"","",M283)</f>
        <v/>
      </c>
      <c r="P283" s="103" t="str">
        <f aca="false">IF(A283="Composição",B283,"")</f>
        <v/>
      </c>
      <c r="Q283" s="102" t="str">
        <f aca="false">IF(P283&lt;&gt;"",SUMIF(L283:L383,L283,N283:N383),"")</f>
        <v/>
      </c>
      <c r="R283" s="102" t="str">
        <f aca="false">IF(P283&lt;&gt;"",SUMIF(L283:L383,L283,O283:O383),"")</f>
        <v/>
      </c>
    </row>
    <row r="284" customFormat="false" ht="50" hidden="false" customHeight="true" outlineLevel="0" collapsed="false">
      <c r="A284" s="122" t="s">
        <v>121</v>
      </c>
      <c r="B284" s="55" t="s">
        <v>323</v>
      </c>
      <c r="C284" s="122" t="s">
        <v>122</v>
      </c>
      <c r="D284" s="122" t="s">
        <v>324</v>
      </c>
      <c r="E284" s="122" t="s">
        <v>161</v>
      </c>
      <c r="F284" s="122"/>
      <c r="G284" s="123" t="s">
        <v>125</v>
      </c>
      <c r="H284" s="124" t="n">
        <v>1</v>
      </c>
      <c r="I284" s="125" t="n">
        <f aca="false">SUMIF(L:L,$L284,M:M)</f>
        <v>182.1</v>
      </c>
      <c r="J284" s="125" t="n">
        <f aca="false">TRUNC(H284*I284,2)</f>
        <v>182.1</v>
      </c>
      <c r="K284" s="217"/>
      <c r="L284" s="176" t="n">
        <f aca="false">IF(AND(A285&lt;&gt;"",A284=""),L283+1,L283)</f>
        <v>34</v>
      </c>
      <c r="M284" s="101" t="str">
        <f aca="false">IF(OR(A284="Insumo",A284="Composição Auxiliar"),J284,"")</f>
        <v/>
      </c>
      <c r="N284" s="102" t="str">
        <f aca="false">IF(E284="Mão de Obra",J284,"")</f>
        <v/>
      </c>
      <c r="O284" s="102" t="str">
        <f aca="false">IF(N284&lt;&gt;"","",M284)</f>
        <v/>
      </c>
      <c r="P284" s="103" t="str">
        <f aca="false">IF(A284="Composição",B284,"")</f>
        <v> 93401 </v>
      </c>
      <c r="Q284" s="102" t="n">
        <f aca="false">IF(P284&lt;&gt;"",SUMIF(L284:L384,L284,N284:N384),"")</f>
        <v>0</v>
      </c>
      <c r="R284" s="102" t="n">
        <f aca="false">IF(P284&lt;&gt;"",SUMIF(L284:L384,L284,O284:O384),"")</f>
        <v>182.1</v>
      </c>
    </row>
    <row r="285" customFormat="false" ht="14" hidden="false" customHeight="false" outlineLevel="0" collapsed="false">
      <c r="A285" s="143" t="s">
        <v>128</v>
      </c>
      <c r="B285" s="144" t="s">
        <v>327</v>
      </c>
      <c r="C285" s="143" t="str">
        <f aca="false">VLOOKUP(B285,INSUMOS!$A:$I,2,0)</f>
        <v>SINAPI</v>
      </c>
      <c r="D285" s="143" t="str">
        <f aca="false">VLOOKUP(B285,INSUMOS!$A:$I,3,0)</f>
        <v>OLEO DIESEL COMBUSTIVEL COMUM</v>
      </c>
      <c r="E285" s="143" t="str">
        <f aca="false">VLOOKUP(B285,INSUMOS!$A:$I,4,0)</f>
        <v>Material</v>
      </c>
      <c r="F285" s="143"/>
      <c r="G285" s="145" t="str">
        <f aca="false">VLOOKUP(B285,INSUMOS!$A:$I,5,0)</f>
        <v>L</v>
      </c>
      <c r="H285" s="146" t="n">
        <v>26.43</v>
      </c>
      <c r="I285" s="147" t="n">
        <f aca="false">VLOOKUP(B285,INSUMOS!$A:$I,8,0)</f>
        <v>6.89</v>
      </c>
      <c r="J285" s="147" t="n">
        <f aca="false">TRUNC(H285*I285,2)</f>
        <v>182.1</v>
      </c>
      <c r="K285" s="217"/>
      <c r="L285" s="176" t="n">
        <f aca="false">IF(AND(A286&lt;&gt;"",A285=""),L284+1,L284)</f>
        <v>34</v>
      </c>
      <c r="M285" s="101" t="n">
        <f aca="false">IF(OR(A285="Insumo",A285="Composição Auxiliar"),J285,"")</f>
        <v>182.1</v>
      </c>
      <c r="N285" s="102" t="str">
        <f aca="false">IF(E285="Mão de Obra",J285,"")</f>
        <v/>
      </c>
      <c r="O285" s="102" t="n">
        <f aca="false">IF(N285&lt;&gt;"","",M285)</f>
        <v>182.1</v>
      </c>
      <c r="P285" s="103" t="str">
        <f aca="false">IF(A285="Composição",B285,"")</f>
        <v/>
      </c>
      <c r="Q285" s="102" t="str">
        <f aca="false">IF(P285&lt;&gt;"",SUMIF(L285:L385,L285,N285:N385),"")</f>
        <v/>
      </c>
      <c r="R285" s="102" t="str">
        <f aca="false">IF(P285&lt;&gt;"",SUMIF(L285:L385,L285,O285:O385),"")</f>
        <v/>
      </c>
    </row>
    <row r="286" customFormat="false" ht="14" hidden="false" customHeight="false" outlineLevel="0" collapsed="false">
      <c r="A286" s="149"/>
      <c r="B286" s="149"/>
      <c r="C286" s="149"/>
      <c r="D286" s="149"/>
      <c r="E286" s="149"/>
      <c r="F286" s="150"/>
      <c r="G286" s="149"/>
      <c r="H286" s="150"/>
      <c r="I286" s="149"/>
      <c r="J286" s="150"/>
      <c r="K286" s="217"/>
      <c r="L286" s="176" t="n">
        <f aca="false">IF(AND(A287&lt;&gt;"",A286=""),L285+1,L285)</f>
        <v>34</v>
      </c>
      <c r="M286" s="101" t="str">
        <f aca="false">IF(OR(A286="Insumo",A286="Composição Auxiliar"),J286,"")</f>
        <v/>
      </c>
      <c r="N286" s="102" t="str">
        <f aca="false">IF(E286="Mão de Obra",J286,"")</f>
        <v/>
      </c>
      <c r="O286" s="102" t="str">
        <f aca="false">IF(N286&lt;&gt;"","",M286)</f>
        <v/>
      </c>
      <c r="P286" s="103" t="str">
        <f aca="false">IF(A286="Composição",B286,"")</f>
        <v/>
      </c>
      <c r="Q286" s="102" t="str">
        <f aca="false">IF(P286&lt;&gt;"",SUMIF(L286:L386,L286,N286:N386),"")</f>
        <v/>
      </c>
      <c r="R286" s="102" t="str">
        <f aca="false">IF(P286&lt;&gt;"",SUMIF(L286:L386,L286,O286:O386),"")</f>
        <v/>
      </c>
    </row>
    <row r="287" customFormat="false" ht="14.5" hidden="false" customHeight="false" outlineLevel="0" collapsed="false">
      <c r="A287" s="149"/>
      <c r="B287" s="149"/>
      <c r="C287" s="149"/>
      <c r="D287" s="149"/>
      <c r="E287" s="149"/>
      <c r="F287" s="150"/>
      <c r="G287" s="149"/>
      <c r="H287" s="151"/>
      <c r="I287" s="151"/>
      <c r="J287" s="150"/>
      <c r="K287" s="217"/>
      <c r="L287" s="176" t="n">
        <f aca="false">IF(AND(A288&lt;&gt;"",A287=""),L286+1,L286)</f>
        <v>34</v>
      </c>
      <c r="M287" s="101" t="str">
        <f aca="false">IF(OR(A287="Insumo",A287="Composição Auxiliar"),J287,"")</f>
        <v/>
      </c>
      <c r="N287" s="102" t="str">
        <f aca="false">IF(E287="Mão de Obra",J287,"")</f>
        <v/>
      </c>
      <c r="O287" s="102" t="str">
        <f aca="false">IF(N287&lt;&gt;"","",M287)</f>
        <v/>
      </c>
      <c r="P287" s="103" t="str">
        <f aca="false">IF(A287="Composição",B287,"")</f>
        <v/>
      </c>
      <c r="Q287" s="102" t="str">
        <f aca="false">IF(P287&lt;&gt;"",SUMIF(L287:L387,L287,N287:N387),"")</f>
        <v/>
      </c>
      <c r="R287" s="102" t="str">
        <f aca="false">IF(P287&lt;&gt;"",SUMIF(L287:L387,L287,O287:O387),"")</f>
        <v/>
      </c>
    </row>
    <row r="288" customFormat="false" ht="37.5" hidden="false" customHeight="true" outlineLevel="0" collapsed="false">
      <c r="A288" s="155"/>
      <c r="B288" s="155"/>
      <c r="C288" s="155"/>
      <c r="D288" s="155"/>
      <c r="E288" s="155"/>
      <c r="F288" s="155"/>
      <c r="G288" s="155"/>
      <c r="H288" s="155"/>
      <c r="I288" s="155"/>
      <c r="J288" s="155"/>
      <c r="K288" s="217"/>
      <c r="L288" s="176" t="n">
        <f aca="false">IF(AND(A289&lt;&gt;"",A288=""),L287+1,L287)</f>
        <v>34</v>
      </c>
      <c r="M288" s="101" t="str">
        <f aca="false">IF(OR(A288="Insumo",A288="Composição Auxiliar"),J288,"")</f>
        <v/>
      </c>
      <c r="N288" s="102" t="str">
        <f aca="false">IF(E288="Mão de Obra",J288,"")</f>
        <v/>
      </c>
      <c r="O288" s="102" t="str">
        <f aca="false">IF(N288&lt;&gt;"","",M288)</f>
        <v/>
      </c>
      <c r="P288" s="103" t="str">
        <f aca="false">IF(A288="Composição",B288,"")</f>
        <v/>
      </c>
      <c r="Q288" s="102" t="str">
        <f aca="false">IF(P288&lt;&gt;"",SUMIF(L288:L388,L288,N288:N388),"")</f>
        <v/>
      </c>
      <c r="R288" s="102" t="str">
        <f aca="false">IF(P288&lt;&gt;"",SUMIF(L288:L388,L288,O288:O388),"")</f>
        <v/>
      </c>
    </row>
    <row r="289" customFormat="false" ht="14" hidden="false" customHeight="true" outlineLevel="0" collapsed="false">
      <c r="A289" s="118"/>
      <c r="B289" s="119" t="s">
        <v>115</v>
      </c>
      <c r="C289" s="118" t="s">
        <v>116</v>
      </c>
      <c r="D289" s="118" t="s">
        <v>117</v>
      </c>
      <c r="E289" s="118" t="s">
        <v>118</v>
      </c>
      <c r="F289" s="118"/>
      <c r="G289" s="120" t="s">
        <v>119</v>
      </c>
      <c r="H289" s="119" t="s">
        <v>120</v>
      </c>
      <c r="I289" s="119" t="s">
        <v>130</v>
      </c>
      <c r="J289" s="119" t="s">
        <v>131</v>
      </c>
      <c r="K289" s="217"/>
      <c r="L289" s="176" t="n">
        <f aca="false">IF(AND(A290&lt;&gt;"",A289=""),L288+1,L288)</f>
        <v>35</v>
      </c>
      <c r="M289" s="101" t="str">
        <f aca="false">IF(OR(A289="Insumo",A289="Composição Auxiliar"),J289,"")</f>
        <v/>
      </c>
      <c r="N289" s="102" t="str">
        <f aca="false">IF(E289="Mão de Obra",J289,"")</f>
        <v/>
      </c>
      <c r="O289" s="102" t="str">
        <f aca="false">IF(N289&lt;&gt;"","",M289)</f>
        <v/>
      </c>
      <c r="P289" s="103" t="str">
        <f aca="false">IF(A289="Composição",B289,"")</f>
        <v/>
      </c>
      <c r="Q289" s="102" t="str">
        <f aca="false">IF(P289&lt;&gt;"",SUMIF(L289:L389,L289,N289:N389),"")</f>
        <v/>
      </c>
      <c r="R289" s="102" t="str">
        <f aca="false">IF(P289&lt;&gt;"",SUMIF(L289:L389,L289,O289:O389),"")</f>
        <v/>
      </c>
    </row>
    <row r="290" customFormat="false" ht="50" hidden="false" customHeight="true" outlineLevel="0" collapsed="false">
      <c r="A290" s="122" t="s">
        <v>121</v>
      </c>
      <c r="B290" s="55" t="s">
        <v>315</v>
      </c>
      <c r="C290" s="122" t="s">
        <v>122</v>
      </c>
      <c r="D290" s="122" t="s">
        <v>316</v>
      </c>
      <c r="E290" s="122" t="s">
        <v>161</v>
      </c>
      <c r="F290" s="122"/>
      <c r="G290" s="123" t="s">
        <v>125</v>
      </c>
      <c r="H290" s="124" t="n">
        <v>1</v>
      </c>
      <c r="I290" s="125" t="n">
        <f aca="false">SUMIF(L:L,$L290,M:M)</f>
        <v>3.14</v>
      </c>
      <c r="J290" s="125" t="n">
        <f aca="false">TRUNC(H290*I290,2)</f>
        <v>3.14</v>
      </c>
      <c r="K290" s="217"/>
      <c r="L290" s="176" t="n">
        <f aca="false">IF(AND(A291&lt;&gt;"",A290=""),L289+1,L289)</f>
        <v>35</v>
      </c>
      <c r="M290" s="101" t="str">
        <f aca="false">IF(OR(A290="Insumo",A290="Composição Auxiliar"),J290,"")</f>
        <v/>
      </c>
      <c r="N290" s="102" t="str">
        <f aca="false">IF(E290="Mão de Obra",J290,"")</f>
        <v/>
      </c>
      <c r="O290" s="102" t="str">
        <f aca="false">IF(N290&lt;&gt;"","",M290)</f>
        <v/>
      </c>
      <c r="P290" s="103" t="str">
        <f aca="false">IF(A290="Composição",B290,"")</f>
        <v> 93399 </v>
      </c>
      <c r="Q290" s="102" t="n">
        <f aca="false">IF(P290&lt;&gt;"",SUMIF(L290:L390,L290,N290:N390),"")</f>
        <v>0</v>
      </c>
      <c r="R290" s="102" t="n">
        <f aca="false">IF(P290&lt;&gt;"",SUMIF(L290:L390,L290,O290:O390),"")</f>
        <v>3.14</v>
      </c>
    </row>
    <row r="291" customFormat="false" ht="37.5" hidden="false" customHeight="false" outlineLevel="0" collapsed="false">
      <c r="A291" s="143" t="s">
        <v>128</v>
      </c>
      <c r="B291" s="144" t="s">
        <v>325</v>
      </c>
      <c r="C291" s="143" t="str">
        <f aca="false">VLOOKUP(B291,INSUMOS!$A:$I,2,0)</f>
        <v>SINAPI</v>
      </c>
      <c r="D291" s="143" t="str">
        <f aca="false">VLOOKUP(B291,INSUMOS!$A:$I,3,0)</f>
        <v>CAMINHAO TOCO, PESO BRUTO TOTAL 16000 KG, CARGA UTIL MAXIMA 11030 KG, DISTANCIA ENTRE EIXOS 5,41 M, POTENCIA 185 CV (INCLUI CABINE E CHASSI, NAO INCLUI CARROCERIA)</v>
      </c>
      <c r="E291" s="143" t="str">
        <f aca="false">VLOOKUP(B291,INSUMOS!$A:$I,4,0)</f>
        <v>Equipamento</v>
      </c>
      <c r="F291" s="143"/>
      <c r="G291" s="145" t="str">
        <f aca="false">VLOOKUP(B291,INSUMOS!$A:$I,5,0)</f>
        <v>UN</v>
      </c>
      <c r="H291" s="146" t="n">
        <v>5.7E-006</v>
      </c>
      <c r="I291" s="147" t="n">
        <f aca="false">VLOOKUP(B291,INSUMOS!$A:$I,8,0)</f>
        <v>459729.71</v>
      </c>
      <c r="J291" s="147" t="n">
        <f aca="false">TRUNC(H291*I291,2)</f>
        <v>2.62</v>
      </c>
      <c r="K291" s="217"/>
      <c r="L291" s="176" t="n">
        <f aca="false">IF(AND(A292&lt;&gt;"",A291=""),L290+1,L290)</f>
        <v>35</v>
      </c>
      <c r="M291" s="101" t="n">
        <f aca="false">IF(OR(A291="Insumo",A291="Composição Auxiliar"),J291,"")</f>
        <v>2.62</v>
      </c>
      <c r="N291" s="102" t="str">
        <f aca="false">IF(E291="Mão de Obra",J291,"")</f>
        <v/>
      </c>
      <c r="O291" s="102" t="n">
        <f aca="false">IF(N291&lt;&gt;"","",M291)</f>
        <v>2.62</v>
      </c>
      <c r="P291" s="103" t="str">
        <f aca="false">IF(A291="Composição",B291,"")</f>
        <v/>
      </c>
      <c r="Q291" s="102" t="str">
        <f aca="false">IF(P291&lt;&gt;"",SUMIF(L291:L391,L291,N291:N391),"")</f>
        <v/>
      </c>
      <c r="R291" s="102" t="str">
        <f aca="false">IF(P291&lt;&gt;"",SUMIF(L291:L391,L291,O291:O391),"")</f>
        <v/>
      </c>
    </row>
    <row r="292" customFormat="false" ht="50" hidden="false" customHeight="false" outlineLevel="0" collapsed="false">
      <c r="A292" s="143" t="s">
        <v>128</v>
      </c>
      <c r="B292" s="144" t="s">
        <v>326</v>
      </c>
      <c r="C292" s="143" t="str">
        <f aca="false">VLOOKUP(B292,INSUMOS!$A:$I,2,0)</f>
        <v>SINAPI</v>
      </c>
      <c r="D292" s="143" t="str">
        <f aca="false">VLOOKUP(B292,INSUMOS!$A:$I,3,0)</f>
        <v>GUINDAUTO HIDRAULICO, CAPACIDADE MAXIMA DE CARGA 3300 KG, MOMENTO MAXIMO DE CARGA 5,8 TM , ALCANCE MAXIMO HORIZONTAL  7,60 M, PARA MONTAGEM SOBRE CHASSI DE CAMINHAO PBT MINIMO 8000 KG (INCLUI MONTAGEM, NAO INCLUI CAMINHAO)</v>
      </c>
      <c r="E292" s="143" t="str">
        <f aca="false">VLOOKUP(B292,INSUMOS!$A:$I,4,0)</f>
        <v>Equipamento</v>
      </c>
      <c r="F292" s="143"/>
      <c r="G292" s="145" t="str">
        <f aca="false">VLOOKUP(B292,INSUMOS!$A:$I,5,0)</f>
        <v>UN</v>
      </c>
      <c r="H292" s="146" t="n">
        <v>5.8E-006</v>
      </c>
      <c r="I292" s="147" t="n">
        <f aca="false">VLOOKUP(B292,INSUMOS!$A:$I,8,0)</f>
        <v>90715.62</v>
      </c>
      <c r="J292" s="147" t="n">
        <f aca="false">TRUNC(H292*I292,2)</f>
        <v>0.52</v>
      </c>
      <c r="K292" s="217"/>
      <c r="L292" s="176" t="n">
        <f aca="false">IF(AND(A293&lt;&gt;"",A292=""),L291+1,L291)</f>
        <v>35</v>
      </c>
      <c r="M292" s="101" t="n">
        <f aca="false">IF(OR(A292="Insumo",A292="Composição Auxiliar"),J292,"")</f>
        <v>0.52</v>
      </c>
      <c r="N292" s="102" t="str">
        <f aca="false">IF(E292="Mão de Obra",J292,"")</f>
        <v/>
      </c>
      <c r="O292" s="102" t="n">
        <f aca="false">IF(N292&lt;&gt;"","",M292)</f>
        <v>0.52</v>
      </c>
      <c r="P292" s="103" t="str">
        <f aca="false">IF(A292="Composição",B292,"")</f>
        <v/>
      </c>
      <c r="Q292" s="102" t="str">
        <f aca="false">IF(P292&lt;&gt;"",SUMIF(L292:L392,L292,N292:N392),"")</f>
        <v/>
      </c>
      <c r="R292" s="102" t="str">
        <f aca="false">IF(P292&lt;&gt;"",SUMIF(L292:L392,L292,O292:O392),"")</f>
        <v/>
      </c>
    </row>
    <row r="293" customFormat="false" ht="14" hidden="false" customHeight="false" outlineLevel="0" collapsed="false">
      <c r="A293" s="149"/>
      <c r="B293" s="149"/>
      <c r="C293" s="149"/>
      <c r="D293" s="149"/>
      <c r="E293" s="149"/>
      <c r="F293" s="150"/>
      <c r="G293" s="149"/>
      <c r="H293" s="150"/>
      <c r="I293" s="149"/>
      <c r="J293" s="150"/>
      <c r="K293" s="217"/>
      <c r="L293" s="176" t="n">
        <f aca="false">IF(AND(A294&lt;&gt;"",A293=""),L292+1,L292)</f>
        <v>35</v>
      </c>
      <c r="M293" s="101" t="str">
        <f aca="false">IF(OR(A293="Insumo",A293="Composição Auxiliar"),J293,"")</f>
        <v/>
      </c>
      <c r="N293" s="102" t="str">
        <f aca="false">IF(E293="Mão de Obra",J293,"")</f>
        <v/>
      </c>
      <c r="O293" s="102" t="str">
        <f aca="false">IF(N293&lt;&gt;"","",M293)</f>
        <v/>
      </c>
      <c r="P293" s="103" t="str">
        <f aca="false">IF(A293="Composição",B293,"")</f>
        <v/>
      </c>
      <c r="Q293" s="102" t="str">
        <f aca="false">IF(P293&lt;&gt;"",SUMIF(L293:L393,L293,N293:N393),"")</f>
        <v/>
      </c>
      <c r="R293" s="102" t="str">
        <f aca="false">IF(P293&lt;&gt;"",SUMIF(L293:L393,L293,O293:O393),"")</f>
        <v/>
      </c>
    </row>
    <row r="294" customFormat="false" ht="37.5" hidden="false" customHeight="true" outlineLevel="0" collapsed="false">
      <c r="A294" s="149"/>
      <c r="B294" s="149"/>
      <c r="C294" s="149"/>
      <c r="D294" s="149"/>
      <c r="E294" s="149"/>
      <c r="F294" s="150"/>
      <c r="G294" s="149"/>
      <c r="H294" s="151"/>
      <c r="I294" s="151"/>
      <c r="J294" s="150"/>
      <c r="K294" s="217"/>
      <c r="L294" s="176" t="n">
        <f aca="false">IF(AND(A295&lt;&gt;"",A294=""),L293+1,L293)</f>
        <v>35</v>
      </c>
      <c r="M294" s="101" t="str">
        <f aca="false">IF(OR(A294="Insumo",A294="Composição Auxiliar"),J294,"")</f>
        <v/>
      </c>
      <c r="N294" s="102" t="str">
        <f aca="false">IF(E294="Mão de Obra",J294,"")</f>
        <v/>
      </c>
      <c r="O294" s="102" t="str">
        <f aca="false">IF(N294&lt;&gt;"","",M294)</f>
        <v/>
      </c>
      <c r="P294" s="103" t="str">
        <f aca="false">IF(A294="Composição",B294,"")</f>
        <v/>
      </c>
      <c r="Q294" s="102" t="str">
        <f aca="false">IF(P294&lt;&gt;"",SUMIF(L294:L394,L294,N294:N394),"")</f>
        <v/>
      </c>
      <c r="R294" s="102" t="str">
        <f aca="false">IF(P294&lt;&gt;"",SUMIF(L294:L394,L294,O294:O394),"")</f>
        <v/>
      </c>
    </row>
    <row r="295" customFormat="false" ht="14.5" hidden="false" customHeight="false" outlineLevel="0" collapsed="false">
      <c r="A295" s="155"/>
      <c r="B295" s="155"/>
      <c r="C295" s="155"/>
      <c r="D295" s="155"/>
      <c r="E295" s="155"/>
      <c r="F295" s="155"/>
      <c r="G295" s="155"/>
      <c r="H295" s="155"/>
      <c r="I295" s="155"/>
      <c r="J295" s="155"/>
      <c r="K295" s="217"/>
      <c r="L295" s="176" t="n">
        <f aca="false">IF(AND(A296&lt;&gt;"",A295=""),L294+1,L294)</f>
        <v>35</v>
      </c>
      <c r="M295" s="101" t="str">
        <f aca="false">IF(OR(A295="Insumo",A295="Composição Auxiliar"),J295,"")</f>
        <v/>
      </c>
      <c r="N295" s="102" t="str">
        <f aca="false">IF(E295="Mão de Obra",J295,"")</f>
        <v/>
      </c>
      <c r="O295" s="102" t="str">
        <f aca="false">IF(N295&lt;&gt;"","",M295)</f>
        <v/>
      </c>
      <c r="P295" s="103" t="str">
        <f aca="false">IF(A295="Composição",B295,"")</f>
        <v/>
      </c>
      <c r="Q295" s="102" t="str">
        <f aca="false">IF(P295&lt;&gt;"",SUMIF(L295:L394,L295,N295:N394),"")</f>
        <v/>
      </c>
      <c r="R295" s="102" t="str">
        <f aca="false">IF(P295&lt;&gt;"",SUMIF(L295:L394,L295,O295:O394),"")</f>
        <v/>
      </c>
    </row>
    <row r="296" customFormat="false" ht="14" hidden="false" customHeight="true" outlineLevel="0" collapsed="false">
      <c r="A296" s="118"/>
      <c r="B296" s="119" t="s">
        <v>115</v>
      </c>
      <c r="C296" s="118" t="s">
        <v>116</v>
      </c>
      <c r="D296" s="118" t="s">
        <v>117</v>
      </c>
      <c r="E296" s="118" t="s">
        <v>118</v>
      </c>
      <c r="F296" s="118"/>
      <c r="G296" s="120" t="s">
        <v>119</v>
      </c>
      <c r="H296" s="119" t="s">
        <v>120</v>
      </c>
      <c r="I296" s="119" t="s">
        <v>130</v>
      </c>
      <c r="J296" s="119" t="s">
        <v>131</v>
      </c>
      <c r="K296" s="217"/>
      <c r="L296" s="176" t="n">
        <f aca="false">IF(AND(A297&lt;&gt;"",A296=""),L295+1,L295)</f>
        <v>36</v>
      </c>
      <c r="M296" s="101" t="str">
        <f aca="false">IF(OR(A296="Insumo",A296="Composição Auxiliar"),J296,"")</f>
        <v/>
      </c>
      <c r="N296" s="102" t="str">
        <f aca="false">IF(E296="Mão de Obra",J296,"")</f>
        <v/>
      </c>
      <c r="O296" s="102" t="str">
        <f aca="false">IF(N296&lt;&gt;"","",M296)</f>
        <v/>
      </c>
      <c r="P296" s="103" t="str">
        <f aca="false">IF(A296="Composição",B296,"")</f>
        <v/>
      </c>
      <c r="Q296" s="102" t="str">
        <f aca="false">IF(P296&lt;&gt;"",SUMIF(L296:L394,L296,N296:N394),"")</f>
        <v/>
      </c>
      <c r="R296" s="102" t="str">
        <f aca="false">IF(P296&lt;&gt;"",SUMIF(L296:L394,L296,O296:O394),"")</f>
        <v/>
      </c>
    </row>
    <row r="297" customFormat="false" ht="25" hidden="false" customHeight="true" outlineLevel="0" collapsed="false">
      <c r="A297" s="122" t="s">
        <v>121</v>
      </c>
      <c r="B297" s="55" t="s">
        <v>159</v>
      </c>
      <c r="C297" s="122" t="s">
        <v>122</v>
      </c>
      <c r="D297" s="122" t="s">
        <v>160</v>
      </c>
      <c r="E297" s="122" t="s">
        <v>161</v>
      </c>
      <c r="F297" s="122"/>
      <c r="G297" s="123" t="s">
        <v>162</v>
      </c>
      <c r="H297" s="124" t="n">
        <v>1</v>
      </c>
      <c r="I297" s="125" t="n">
        <f aca="false">SUMIF(L:L,$L297,M:M)</f>
        <v>21.49</v>
      </c>
      <c r="J297" s="125" t="n">
        <f aca="false">TRUNC(H297*I297,2)</f>
        <v>21.49</v>
      </c>
      <c r="K297" s="217"/>
      <c r="L297" s="176" t="n">
        <f aca="false">IF(AND(A298&lt;&gt;"",A297=""),L296+1,L296)</f>
        <v>36</v>
      </c>
      <c r="M297" s="101" t="str">
        <f aca="false">IF(OR(A297="Insumo",A297="Composição Auxiliar"),J297,"")</f>
        <v/>
      </c>
      <c r="N297" s="102" t="str">
        <f aca="false">IF(E297="Mão de Obra",J297,"")</f>
        <v/>
      </c>
      <c r="O297" s="102" t="str">
        <f aca="false">IF(N297&lt;&gt;"","",M297)</f>
        <v/>
      </c>
      <c r="P297" s="103" t="str">
        <f aca="false">IF(A297="Composição",B297,"")</f>
        <v> 5952 </v>
      </c>
      <c r="Q297" s="102" t="n">
        <f aca="false">IF(P297&lt;&gt;"",SUMIF(L297:L394,L297,N297:N394),"")</f>
        <v>0</v>
      </c>
      <c r="R297" s="102" t="n">
        <f aca="false">IF(P297&lt;&gt;"",SUMIF(L297:L394,L297,O297:O394),"")</f>
        <v>21.49</v>
      </c>
    </row>
    <row r="298" customFormat="false" ht="25" hidden="false" customHeight="true" outlineLevel="0" collapsed="false">
      <c r="A298" s="129" t="s">
        <v>126</v>
      </c>
      <c r="B298" s="130" t="s">
        <v>328</v>
      </c>
      <c r="C298" s="129" t="s">
        <v>122</v>
      </c>
      <c r="D298" s="129" t="s">
        <v>329</v>
      </c>
      <c r="E298" s="129" t="s">
        <v>161</v>
      </c>
      <c r="F298" s="129"/>
      <c r="G298" s="131" t="s">
        <v>125</v>
      </c>
      <c r="H298" s="132" t="n">
        <v>1</v>
      </c>
      <c r="I298" s="133" t="n">
        <f aca="false">SUMIFS(J:J,A:A,"Composição",B:B,$B298)</f>
        <v>0.14</v>
      </c>
      <c r="J298" s="133" t="n">
        <f aca="false">TRUNC(H298*I298,2)</f>
        <v>0.14</v>
      </c>
      <c r="K298" s="217"/>
      <c r="L298" s="176" t="n">
        <f aca="false">IF(AND(A299&lt;&gt;"",A298=""),L297+1,L297)</f>
        <v>36</v>
      </c>
      <c r="M298" s="101" t="n">
        <f aca="false">IF(OR(A298="Insumo",A298="Composição Auxiliar"),J298,"")</f>
        <v>0.14</v>
      </c>
      <c r="N298" s="102" t="str">
        <f aca="false">IF(E298="Mão de Obra",J298,"")</f>
        <v/>
      </c>
      <c r="O298" s="102" t="n">
        <f aca="false">IF(N298&lt;&gt;"","",M298)</f>
        <v>0.14</v>
      </c>
      <c r="P298" s="103" t="str">
        <f aca="false">IF(A298="Composição",B298,"")</f>
        <v/>
      </c>
      <c r="Q298" s="102" t="str">
        <f aca="false">IF(P298&lt;&gt;"",SUMIF(L298:L394,L298,N298:N394),"")</f>
        <v/>
      </c>
      <c r="R298" s="102" t="str">
        <f aca="false">IF(P298&lt;&gt;"",SUMIF(L298:L394,L298,O298:O394),"")</f>
        <v/>
      </c>
    </row>
    <row r="299" customFormat="false" ht="25" hidden="false" customHeight="true" outlineLevel="0" collapsed="false">
      <c r="A299" s="129" t="s">
        <v>126</v>
      </c>
      <c r="B299" s="130" t="s">
        <v>330</v>
      </c>
      <c r="C299" s="129" t="s">
        <v>122</v>
      </c>
      <c r="D299" s="129" t="s">
        <v>331</v>
      </c>
      <c r="E299" s="129" t="s">
        <v>161</v>
      </c>
      <c r="F299" s="129"/>
      <c r="G299" s="131" t="s">
        <v>125</v>
      </c>
      <c r="H299" s="132" t="n">
        <v>1</v>
      </c>
      <c r="I299" s="133" t="n">
        <f aca="false">SUMIFS(J:J,A:A,"Composição",B:B,$B299)</f>
        <v>1.22</v>
      </c>
      <c r="J299" s="133" t="n">
        <f aca="false">TRUNC(H299*I299,2)</f>
        <v>1.22</v>
      </c>
      <c r="K299" s="217"/>
      <c r="L299" s="176" t="n">
        <f aca="false">IF(AND(A300&lt;&gt;"",A299=""),L298+1,L298)</f>
        <v>36</v>
      </c>
      <c r="M299" s="101" t="n">
        <f aca="false">IF(OR(A299="Insumo",A299="Composição Auxiliar"),J299,"")</f>
        <v>1.22</v>
      </c>
      <c r="N299" s="102" t="str">
        <f aca="false">IF(E299="Mão de Obra",J299,"")</f>
        <v/>
      </c>
      <c r="O299" s="102" t="n">
        <f aca="false">IF(N299&lt;&gt;"","",M299)</f>
        <v>1.22</v>
      </c>
      <c r="P299" s="103" t="str">
        <f aca="false">IF(A299="Composição",B299,"")</f>
        <v/>
      </c>
      <c r="Q299" s="102" t="str">
        <f aca="false">IF(P299&lt;&gt;"",SUMIF(L299:L394,L299,N299:N394),"")</f>
        <v/>
      </c>
      <c r="R299" s="102" t="str">
        <f aca="false">IF(P299&lt;&gt;"",SUMIF(L299:L394,L299,O299:O394),"")</f>
        <v/>
      </c>
    </row>
    <row r="300" customFormat="false" ht="37.5" hidden="false" customHeight="true" outlineLevel="0" collapsed="false">
      <c r="A300" s="129" t="s">
        <v>126</v>
      </c>
      <c r="B300" s="130" t="s">
        <v>332</v>
      </c>
      <c r="C300" s="129" t="s">
        <v>122</v>
      </c>
      <c r="D300" s="129" t="s">
        <v>333</v>
      </c>
      <c r="E300" s="129" t="s">
        <v>124</v>
      </c>
      <c r="F300" s="129"/>
      <c r="G300" s="131" t="s">
        <v>125</v>
      </c>
      <c r="H300" s="132" t="n">
        <v>1</v>
      </c>
      <c r="I300" s="133" t="n">
        <f aca="false">SUMIFS(J:J,A:A,"Composição",B:B,$B300)</f>
        <v>20.13</v>
      </c>
      <c r="J300" s="133" t="n">
        <f aca="false">TRUNC(H300*I300,2)</f>
        <v>20.13</v>
      </c>
      <c r="K300" s="217"/>
      <c r="L300" s="176" t="n">
        <f aca="false">IF(AND(A301&lt;&gt;"",A300=""),L299+1,L299)</f>
        <v>36</v>
      </c>
      <c r="M300" s="101" t="n">
        <f aca="false">IF(OR(A300="Insumo",A300="Composição Auxiliar"),J300,"")</f>
        <v>20.13</v>
      </c>
      <c r="N300" s="102" t="str">
        <f aca="false">IF(E300="Mão de Obra",J300,"")</f>
        <v/>
      </c>
      <c r="O300" s="102" t="n">
        <f aca="false">IF(N300&lt;&gt;"","",M300)</f>
        <v>20.13</v>
      </c>
      <c r="P300" s="103" t="str">
        <f aca="false">IF(A300="Composição",B300,"")</f>
        <v/>
      </c>
      <c r="Q300" s="102" t="str">
        <f aca="false">IF(P300&lt;&gt;"",SUMIF(L300:L394,L300,N300:N394),"")</f>
        <v/>
      </c>
      <c r="R300" s="102" t="str">
        <f aca="false">IF(P300&lt;&gt;"",SUMIF(L300:L394,L300,O300:O394),"")</f>
        <v/>
      </c>
    </row>
    <row r="301" customFormat="false" ht="25.5" hidden="false" customHeight="true" outlineLevel="0" collapsed="false">
      <c r="A301" s="149"/>
      <c r="B301" s="149"/>
      <c r="C301" s="149"/>
      <c r="D301" s="149"/>
      <c r="E301" s="149"/>
      <c r="F301" s="150"/>
      <c r="G301" s="149"/>
      <c r="H301" s="150"/>
      <c r="I301" s="149"/>
      <c r="J301" s="150"/>
      <c r="K301" s="217"/>
      <c r="L301" s="176" t="n">
        <f aca="false">IF(AND(A302&lt;&gt;"",A301=""),L300+1,L300)</f>
        <v>36</v>
      </c>
      <c r="M301" s="101" t="str">
        <f aca="false">IF(OR(A301="Insumo",A301="Composição Auxiliar"),J301,"")</f>
        <v/>
      </c>
      <c r="N301" s="102" t="str">
        <f aca="false">IF(E301="Mão de Obra",J301,"")</f>
        <v/>
      </c>
      <c r="O301" s="102" t="str">
        <f aca="false">IF(N301&lt;&gt;"","",M301)</f>
        <v/>
      </c>
      <c r="P301" s="103" t="str">
        <f aca="false">IF(A301="Composição",B301,"")</f>
        <v/>
      </c>
      <c r="Q301" s="102" t="str">
        <f aca="false">IF(P301&lt;&gt;"",SUMIF(L301:L394,L301,N301:N394),"")</f>
        <v/>
      </c>
      <c r="R301" s="102" t="str">
        <f aca="false">IF(P301&lt;&gt;"",SUMIF(L301:L394,L301,O301:O394),"")</f>
        <v/>
      </c>
    </row>
    <row r="302" customFormat="false" ht="25.5" hidden="false" customHeight="true" outlineLevel="0" collapsed="false">
      <c r="A302" s="149"/>
      <c r="B302" s="149"/>
      <c r="C302" s="149"/>
      <c r="D302" s="149"/>
      <c r="E302" s="149"/>
      <c r="F302" s="150"/>
      <c r="G302" s="149"/>
      <c r="H302" s="151"/>
      <c r="I302" s="151"/>
      <c r="J302" s="150"/>
      <c r="K302" s="217"/>
      <c r="L302" s="176" t="n">
        <f aca="false">IF(AND(A303&lt;&gt;"",A302=""),L301+1,L301)</f>
        <v>36</v>
      </c>
      <c r="M302" s="101" t="str">
        <f aca="false">IF(OR(A302="Insumo",A302="Composição Auxiliar"),J302,"")</f>
        <v/>
      </c>
      <c r="N302" s="102" t="str">
        <f aca="false">IF(E302="Mão de Obra",J302,"")</f>
        <v/>
      </c>
      <c r="O302" s="102" t="str">
        <f aca="false">IF(N302&lt;&gt;"","",M302)</f>
        <v/>
      </c>
      <c r="P302" s="103" t="str">
        <f aca="false">IF(A302="Composição",B302,"")</f>
        <v/>
      </c>
      <c r="Q302" s="102" t="str">
        <f aca="false">IF(P302&lt;&gt;"",SUMIF(L302:L394,L302,N302:N394),"")</f>
        <v/>
      </c>
      <c r="R302" s="102" t="str">
        <f aca="false">IF(P302&lt;&gt;"",SUMIF(L302:L394,L302,O302:O394),"")</f>
        <v/>
      </c>
    </row>
    <row r="303" customFormat="false" ht="25.5" hidden="false" customHeight="true" outlineLevel="0" collapsed="false">
      <c r="A303" s="155"/>
      <c r="B303" s="155"/>
      <c r="C303" s="155"/>
      <c r="D303" s="155"/>
      <c r="E303" s="155"/>
      <c r="F303" s="155"/>
      <c r="G303" s="155"/>
      <c r="H303" s="155"/>
      <c r="I303" s="155"/>
      <c r="J303" s="155"/>
      <c r="K303" s="217"/>
      <c r="L303" s="176" t="n">
        <f aca="false">IF(AND(A304&lt;&gt;"",A303=""),L302+1,L302)</f>
        <v>36</v>
      </c>
      <c r="M303" s="101" t="str">
        <f aca="false">IF(OR(A303="Insumo",A303="Composição Auxiliar"),J303,"")</f>
        <v/>
      </c>
      <c r="N303" s="102" t="str">
        <f aca="false">IF(E303="Mão de Obra",J303,"")</f>
        <v/>
      </c>
      <c r="O303" s="102" t="str">
        <f aca="false">IF(N303&lt;&gt;"","",M303)</f>
        <v/>
      </c>
      <c r="P303" s="103" t="str">
        <f aca="false">IF(A303="Composição",B303,"")</f>
        <v/>
      </c>
      <c r="Q303" s="102" t="str">
        <f aca="false">IF(P303&lt;&gt;"",SUMIF(L303:L394,L303,N303:N394),"")</f>
        <v/>
      </c>
      <c r="R303" s="102" t="str">
        <f aca="false">IF(P303&lt;&gt;"",SUMIF(L303:L394,L303,O303:O394),"")</f>
        <v/>
      </c>
    </row>
    <row r="304" customFormat="false" ht="14" hidden="false" customHeight="true" outlineLevel="0" collapsed="false">
      <c r="A304" s="118"/>
      <c r="B304" s="119" t="s">
        <v>115</v>
      </c>
      <c r="C304" s="118" t="s">
        <v>116</v>
      </c>
      <c r="D304" s="118" t="s">
        <v>117</v>
      </c>
      <c r="E304" s="118" t="s">
        <v>118</v>
      </c>
      <c r="F304" s="118"/>
      <c r="G304" s="120" t="s">
        <v>119</v>
      </c>
      <c r="H304" s="119" t="s">
        <v>120</v>
      </c>
      <c r="I304" s="119" t="s">
        <v>130</v>
      </c>
      <c r="J304" s="119" t="s">
        <v>131</v>
      </c>
      <c r="K304" s="217"/>
      <c r="L304" s="176" t="n">
        <f aca="false">IF(AND(A305&lt;&gt;"",A304=""),L303+1,L303)</f>
        <v>37</v>
      </c>
      <c r="M304" s="101" t="str">
        <f aca="false">IF(OR(A304="Insumo",A304="Composição Auxiliar"),J304,"")</f>
        <v/>
      </c>
      <c r="N304" s="102" t="str">
        <f aca="false">IF(E304="Mão de Obra",J304,"")</f>
        <v/>
      </c>
      <c r="O304" s="102" t="str">
        <f aca="false">IF(N304&lt;&gt;"","",M304)</f>
        <v/>
      </c>
      <c r="P304" s="103" t="str">
        <f aca="false">IF(A304="Composição",B304,"")</f>
        <v/>
      </c>
      <c r="Q304" s="102" t="str">
        <f aca="false">IF(P304&lt;&gt;"",SUMIF(L304:L394,L304,N304:N394),"")</f>
        <v/>
      </c>
      <c r="R304" s="102" t="str">
        <f aca="false">IF(P304&lt;&gt;"",SUMIF(L304:L394,L304,O304:O394),"")</f>
        <v/>
      </c>
    </row>
    <row r="305" customFormat="false" ht="25" hidden="false" customHeight="true" outlineLevel="0" collapsed="false">
      <c r="A305" s="122" t="s">
        <v>121</v>
      </c>
      <c r="B305" s="55" t="s">
        <v>163</v>
      </c>
      <c r="C305" s="122" t="s">
        <v>122</v>
      </c>
      <c r="D305" s="122" t="s">
        <v>164</v>
      </c>
      <c r="E305" s="122" t="s">
        <v>161</v>
      </c>
      <c r="F305" s="122"/>
      <c r="G305" s="123" t="s">
        <v>165</v>
      </c>
      <c r="H305" s="124" t="n">
        <v>1</v>
      </c>
      <c r="I305" s="125" t="n">
        <f aca="false">SUMIF(L:L,$L305,M:M)</f>
        <v>23.02</v>
      </c>
      <c r="J305" s="125" t="n">
        <f aca="false">TRUNC(H305*I305,2)</f>
        <v>23.02</v>
      </c>
      <c r="K305" s="217"/>
      <c r="L305" s="176" t="n">
        <f aca="false">IF(AND(A306&lt;&gt;"",A305=""),L304+1,L304)</f>
        <v>37</v>
      </c>
      <c r="M305" s="101" t="str">
        <f aca="false">IF(OR(A305="Insumo",A305="Composição Auxiliar"),J305,"")</f>
        <v/>
      </c>
      <c r="N305" s="102" t="str">
        <f aca="false">IF(E305="Mão de Obra",J305,"")</f>
        <v/>
      </c>
      <c r="O305" s="102" t="str">
        <f aca="false">IF(N305&lt;&gt;"","",M305)</f>
        <v/>
      </c>
      <c r="P305" s="103" t="str">
        <f aca="false">IF(A305="Composição",B305,"")</f>
        <v> 5795 </v>
      </c>
      <c r="Q305" s="102" t="n">
        <f aca="false">IF(P305&lt;&gt;"",SUMIF(L305:L394,L305,N305:N394),"")</f>
        <v>0</v>
      </c>
      <c r="R305" s="102" t="n">
        <f aca="false">IF(P305&lt;&gt;"",SUMIF(L305:L394,L305,O305:O394),"")</f>
        <v>23.02</v>
      </c>
    </row>
    <row r="306" customFormat="false" ht="37.5" hidden="false" customHeight="true" outlineLevel="0" collapsed="false">
      <c r="A306" s="129" t="s">
        <v>126</v>
      </c>
      <c r="B306" s="130" t="s">
        <v>334</v>
      </c>
      <c r="C306" s="129" t="s">
        <v>122</v>
      </c>
      <c r="D306" s="129" t="s">
        <v>335</v>
      </c>
      <c r="E306" s="129" t="s">
        <v>161</v>
      </c>
      <c r="F306" s="129"/>
      <c r="G306" s="131" t="s">
        <v>125</v>
      </c>
      <c r="H306" s="132" t="n">
        <v>1</v>
      </c>
      <c r="I306" s="133" t="n">
        <f aca="false">SUMIFS(J:J,A:A,"Composição",B:B,$B306)</f>
        <v>1.53</v>
      </c>
      <c r="J306" s="133" t="n">
        <f aca="false">TRUNC(H306*I306,2)</f>
        <v>1.53</v>
      </c>
      <c r="K306" s="217"/>
      <c r="L306" s="176" t="n">
        <f aca="false">IF(AND(A307&lt;&gt;"",A306=""),L305+1,L305)</f>
        <v>37</v>
      </c>
      <c r="M306" s="101" t="n">
        <f aca="false">IF(OR(A306="Insumo",A306="Composição Auxiliar"),J306,"")</f>
        <v>1.53</v>
      </c>
      <c r="N306" s="102" t="str">
        <f aca="false">IF(E306="Mão de Obra",J306,"")</f>
        <v/>
      </c>
      <c r="O306" s="102" t="n">
        <f aca="false">IF(N306&lt;&gt;"","",M306)</f>
        <v>1.53</v>
      </c>
      <c r="P306" s="103" t="str">
        <f aca="false">IF(A306="Composição",B306,"")</f>
        <v/>
      </c>
      <c r="Q306" s="102" t="str">
        <f aca="false">IF(P306&lt;&gt;"",SUMIF(L306:L394,L306,N306:N394),"")</f>
        <v/>
      </c>
      <c r="R306" s="102" t="str">
        <f aca="false">IF(P306&lt;&gt;"",SUMIF(L306:L394,L306,O306:O394),"")</f>
        <v/>
      </c>
    </row>
    <row r="307" customFormat="false" ht="37.5" hidden="false" customHeight="true" outlineLevel="0" collapsed="false">
      <c r="A307" s="129" t="s">
        <v>126</v>
      </c>
      <c r="B307" s="130" t="s">
        <v>330</v>
      </c>
      <c r="C307" s="129" t="s">
        <v>122</v>
      </c>
      <c r="D307" s="129" t="s">
        <v>331</v>
      </c>
      <c r="E307" s="129" t="s">
        <v>161</v>
      </c>
      <c r="F307" s="129"/>
      <c r="G307" s="131" t="s">
        <v>125</v>
      </c>
      <c r="H307" s="132" t="n">
        <v>1</v>
      </c>
      <c r="I307" s="133" t="n">
        <f aca="false">SUMIFS(J:J,A:A,"Composição",B:B,$B307)</f>
        <v>1.22</v>
      </c>
      <c r="J307" s="133" t="n">
        <f aca="false">TRUNC(H307*I307,2)</f>
        <v>1.22</v>
      </c>
      <c r="K307" s="217"/>
      <c r="L307" s="176" t="n">
        <f aca="false">IF(AND(A308&lt;&gt;"",A307=""),L306+1,L306)</f>
        <v>37</v>
      </c>
      <c r="M307" s="101" t="n">
        <f aca="false">IF(OR(A307="Insumo",A307="Composição Auxiliar"),J307,"")</f>
        <v>1.22</v>
      </c>
      <c r="N307" s="102" t="str">
        <f aca="false">IF(E307="Mão de Obra",J307,"")</f>
        <v/>
      </c>
      <c r="O307" s="102" t="n">
        <f aca="false">IF(N307&lt;&gt;"","",M307)</f>
        <v>1.22</v>
      </c>
      <c r="P307" s="103" t="str">
        <f aca="false">IF(A307="Composição",B307,"")</f>
        <v/>
      </c>
      <c r="Q307" s="102" t="str">
        <f aca="false">IF(P307&lt;&gt;"",SUMIF(L307:L394,L307,N307:N394),"")</f>
        <v/>
      </c>
      <c r="R307" s="102" t="str">
        <f aca="false">IF(P307&lt;&gt;"",SUMIF(L307:L394,L307,O307:O394),"")</f>
        <v/>
      </c>
    </row>
    <row r="308" customFormat="false" ht="37.5" hidden="false" customHeight="true" outlineLevel="0" collapsed="false">
      <c r="A308" s="129" t="s">
        <v>126</v>
      </c>
      <c r="B308" s="130" t="s">
        <v>328</v>
      </c>
      <c r="C308" s="129" t="s">
        <v>122</v>
      </c>
      <c r="D308" s="129" t="s">
        <v>329</v>
      </c>
      <c r="E308" s="129" t="s">
        <v>161</v>
      </c>
      <c r="F308" s="129"/>
      <c r="G308" s="131" t="s">
        <v>125</v>
      </c>
      <c r="H308" s="132" t="n">
        <v>1</v>
      </c>
      <c r="I308" s="133" t="n">
        <f aca="false">SUMIFS(J:J,A:A,"Composição",B:B,$B308)</f>
        <v>0.14</v>
      </c>
      <c r="J308" s="133" t="n">
        <f aca="false">TRUNC(H308*I308,2)</f>
        <v>0.14</v>
      </c>
      <c r="K308" s="217"/>
      <c r="L308" s="176" t="n">
        <f aca="false">IF(AND(A309&lt;&gt;"",A308=""),L307+1,L307)</f>
        <v>37</v>
      </c>
      <c r="M308" s="101" t="n">
        <f aca="false">IF(OR(A308="Insumo",A308="Composição Auxiliar"),J308,"")</f>
        <v>0.14</v>
      </c>
      <c r="N308" s="102" t="str">
        <f aca="false">IF(E308="Mão de Obra",J308,"")</f>
        <v/>
      </c>
      <c r="O308" s="102" t="n">
        <f aca="false">IF(N308&lt;&gt;"","",M308)</f>
        <v>0.14</v>
      </c>
      <c r="P308" s="103" t="str">
        <f aca="false">IF(A308="Composição",B308,"")</f>
        <v/>
      </c>
      <c r="Q308" s="102" t="str">
        <f aca="false">IF(P308&lt;&gt;"",SUMIF(L308:L394,L308,N308:N394),"")</f>
        <v/>
      </c>
      <c r="R308" s="102" t="str">
        <f aca="false">IF(P308&lt;&gt;"",SUMIF(L308:L394,L308,O308:O394),"")</f>
        <v/>
      </c>
    </row>
    <row r="309" customFormat="false" ht="25" hidden="false" customHeight="true" outlineLevel="0" collapsed="false">
      <c r="A309" s="129" t="s">
        <v>126</v>
      </c>
      <c r="B309" s="130" t="s">
        <v>332</v>
      </c>
      <c r="C309" s="129" t="s">
        <v>122</v>
      </c>
      <c r="D309" s="129" t="s">
        <v>333</v>
      </c>
      <c r="E309" s="129" t="s">
        <v>124</v>
      </c>
      <c r="F309" s="129"/>
      <c r="G309" s="131" t="s">
        <v>125</v>
      </c>
      <c r="H309" s="132" t="n">
        <v>1</v>
      </c>
      <c r="I309" s="133" t="n">
        <f aca="false">SUMIFS(J:J,A:A,"Composição",B:B,$B309)</f>
        <v>20.13</v>
      </c>
      <c r="J309" s="133" t="n">
        <f aca="false">TRUNC(H309*I309,2)</f>
        <v>20.13</v>
      </c>
      <c r="K309" s="217"/>
      <c r="L309" s="176" t="n">
        <f aca="false">IF(AND(A310&lt;&gt;"",A309=""),L308+1,L308)</f>
        <v>37</v>
      </c>
      <c r="M309" s="101" t="n">
        <f aca="false">IF(OR(A309="Insumo",A309="Composição Auxiliar"),J309,"")</f>
        <v>20.13</v>
      </c>
      <c r="N309" s="102" t="str">
        <f aca="false">IF(E309="Mão de Obra",J309,"")</f>
        <v/>
      </c>
      <c r="O309" s="102" t="n">
        <f aca="false">IF(N309&lt;&gt;"","",M309)</f>
        <v>20.13</v>
      </c>
      <c r="P309" s="103" t="str">
        <f aca="false">IF(A309="Composição",B309,"")</f>
        <v/>
      </c>
      <c r="Q309" s="102" t="str">
        <f aca="false">IF(P309&lt;&gt;"",SUMIF(L309:L394,L309,N309:N394),"")</f>
        <v/>
      </c>
      <c r="R309" s="102" t="str">
        <f aca="false">IF(P309&lt;&gt;"",SUMIF(L309:L394,L309,O309:O394),"")</f>
        <v/>
      </c>
    </row>
    <row r="310" customFormat="false" ht="14" hidden="false" customHeight="false" outlineLevel="0" collapsed="false">
      <c r="A310" s="149"/>
      <c r="B310" s="149"/>
      <c r="C310" s="149"/>
      <c r="D310" s="149"/>
      <c r="E310" s="149"/>
      <c r="F310" s="150"/>
      <c r="G310" s="149"/>
      <c r="H310" s="150"/>
      <c r="I310" s="149"/>
      <c r="J310" s="150"/>
      <c r="K310" s="217"/>
      <c r="L310" s="176" t="n">
        <f aca="false">IF(AND(A311&lt;&gt;"",A310=""),L309+1,L309)</f>
        <v>37</v>
      </c>
      <c r="M310" s="101" t="str">
        <f aca="false">IF(OR(A310="Insumo",A310="Composição Auxiliar"),J310,"")</f>
        <v/>
      </c>
      <c r="N310" s="102" t="str">
        <f aca="false">IF(E310="Mão de Obra",J310,"")</f>
        <v/>
      </c>
      <c r="O310" s="102" t="str">
        <f aca="false">IF(N310&lt;&gt;"","",M310)</f>
        <v/>
      </c>
      <c r="P310" s="103" t="str">
        <f aca="false">IF(A310="Composição",B310,"")</f>
        <v/>
      </c>
      <c r="Q310" s="102" t="str">
        <f aca="false">IF(P310&lt;&gt;"",SUMIF(L310:L394,L310,N310:N394),"")</f>
        <v/>
      </c>
      <c r="R310" s="102" t="str">
        <f aca="false">IF(P310&lt;&gt;"",SUMIF(L310:L394,L310,O310:O394),"")</f>
        <v/>
      </c>
    </row>
    <row r="311" customFormat="false" ht="14.5" hidden="false" customHeight="false" outlineLevel="0" collapsed="false">
      <c r="A311" s="149"/>
      <c r="B311" s="149"/>
      <c r="C311" s="149"/>
      <c r="D311" s="149"/>
      <c r="E311" s="149"/>
      <c r="F311" s="150"/>
      <c r="G311" s="149"/>
      <c r="H311" s="151"/>
      <c r="I311" s="151"/>
      <c r="J311" s="150"/>
      <c r="K311" s="217"/>
      <c r="L311" s="176" t="n">
        <f aca="false">IF(AND(A312&lt;&gt;"",A311=""),L310+1,L310)</f>
        <v>37</v>
      </c>
      <c r="M311" s="101" t="str">
        <f aca="false">IF(OR(A311="Insumo",A311="Composição Auxiliar"),J311,"")</f>
        <v/>
      </c>
      <c r="N311" s="102" t="str">
        <f aca="false">IF(E311="Mão de Obra",J311,"")</f>
        <v/>
      </c>
      <c r="O311" s="102" t="str">
        <f aca="false">IF(N311&lt;&gt;"","",M311)</f>
        <v/>
      </c>
      <c r="P311" s="103" t="str">
        <f aca="false">IF(A311="Composição",B311,"")</f>
        <v/>
      </c>
      <c r="Q311" s="102" t="str">
        <f aca="false">IF(P311&lt;&gt;"",SUMIF(L311:L394,L311,N311:N394),"")</f>
        <v/>
      </c>
      <c r="R311" s="102" t="str">
        <f aca="false">IF(P311&lt;&gt;"",SUMIF(L311:L394,L311,O311:O394),"")</f>
        <v/>
      </c>
    </row>
    <row r="312" customFormat="false" ht="14.5" hidden="false" customHeight="false" outlineLevel="0" collapsed="false">
      <c r="A312" s="155"/>
      <c r="B312" s="155"/>
      <c r="C312" s="155"/>
      <c r="D312" s="155"/>
      <c r="E312" s="155"/>
      <c r="F312" s="155"/>
      <c r="G312" s="155"/>
      <c r="H312" s="155"/>
      <c r="I312" s="155"/>
      <c r="J312" s="155"/>
      <c r="K312" s="217"/>
      <c r="L312" s="176" t="n">
        <f aca="false">IF(AND(A313&lt;&gt;"",A312=""),L311+1,L311)</f>
        <v>37</v>
      </c>
      <c r="M312" s="101" t="str">
        <f aca="false">IF(OR(A312="Insumo",A312="Composição Auxiliar"),J312,"")</f>
        <v/>
      </c>
      <c r="N312" s="102" t="str">
        <f aca="false">IF(E312="Mão de Obra",J312,"")</f>
        <v/>
      </c>
      <c r="O312" s="102" t="str">
        <f aca="false">IF(N312&lt;&gt;"","",M312)</f>
        <v/>
      </c>
      <c r="P312" s="103" t="str">
        <f aca="false">IF(A312="Composição",B312,"")</f>
        <v/>
      </c>
      <c r="Q312" s="102" t="str">
        <f aca="false">IF(P312&lt;&gt;"",SUMIF(L312:L394,L312,N312:N394),"")</f>
        <v/>
      </c>
      <c r="R312" s="102" t="str">
        <f aca="false">IF(P312&lt;&gt;"",SUMIF(L312:L394,L312,O312:O394),"")</f>
        <v/>
      </c>
    </row>
    <row r="313" customFormat="false" ht="37.5" hidden="false" customHeight="true" outlineLevel="0" collapsed="false">
      <c r="A313" s="118"/>
      <c r="B313" s="119" t="s">
        <v>115</v>
      </c>
      <c r="C313" s="118" t="s">
        <v>116</v>
      </c>
      <c r="D313" s="118" t="s">
        <v>117</v>
      </c>
      <c r="E313" s="118" t="s">
        <v>118</v>
      </c>
      <c r="F313" s="118"/>
      <c r="G313" s="120" t="s">
        <v>119</v>
      </c>
      <c r="H313" s="119" t="s">
        <v>120</v>
      </c>
      <c r="I313" s="119" t="s">
        <v>130</v>
      </c>
      <c r="J313" s="119" t="s">
        <v>131</v>
      </c>
      <c r="K313" s="217"/>
      <c r="L313" s="176" t="n">
        <f aca="false">IF(AND(A314&lt;&gt;"",A313=""),L312+1,L312)</f>
        <v>38</v>
      </c>
      <c r="M313" s="101" t="str">
        <f aca="false">IF(OR(A313="Insumo",A313="Composição Auxiliar"),J313,"")</f>
        <v/>
      </c>
      <c r="N313" s="102" t="str">
        <f aca="false">IF(E313="Mão de Obra",J313,"")</f>
        <v/>
      </c>
      <c r="O313" s="102" t="str">
        <f aca="false">IF(N313&lt;&gt;"","",M313)</f>
        <v/>
      </c>
      <c r="P313" s="103" t="str">
        <f aca="false">IF(A313="Composição",B313,"")</f>
        <v/>
      </c>
      <c r="Q313" s="102" t="str">
        <f aca="false">IF(P313&lt;&gt;"",SUMIF(L313:L394,L313,N313:N394),"")</f>
        <v/>
      </c>
      <c r="R313" s="102" t="str">
        <f aca="false">IF(P313&lt;&gt;"",SUMIF(L313:L394,L313,O313:O394),"")</f>
        <v/>
      </c>
    </row>
    <row r="314" customFormat="false" ht="37.5" hidden="false" customHeight="true" outlineLevel="0" collapsed="false">
      <c r="A314" s="122" t="s">
        <v>121</v>
      </c>
      <c r="B314" s="55" t="s">
        <v>330</v>
      </c>
      <c r="C314" s="122" t="s">
        <v>122</v>
      </c>
      <c r="D314" s="122" t="s">
        <v>331</v>
      </c>
      <c r="E314" s="122" t="s">
        <v>161</v>
      </c>
      <c r="F314" s="122"/>
      <c r="G314" s="123" t="s">
        <v>125</v>
      </c>
      <c r="H314" s="124" t="n">
        <v>1</v>
      </c>
      <c r="I314" s="125" t="n">
        <f aca="false">SUMIF(L:L,$L314,M:M)</f>
        <v>1.22</v>
      </c>
      <c r="J314" s="125" t="n">
        <f aca="false">TRUNC(H314*I314,2)</f>
        <v>1.22</v>
      </c>
      <c r="K314" s="217"/>
      <c r="L314" s="176" t="n">
        <f aca="false">IF(AND(A315&lt;&gt;"",A314=""),L313+1,L313)</f>
        <v>38</v>
      </c>
      <c r="M314" s="101" t="str">
        <f aca="false">IF(OR(A314="Insumo",A314="Composição Auxiliar"),J314,"")</f>
        <v/>
      </c>
      <c r="N314" s="102" t="str">
        <f aca="false">IF(E314="Mão de Obra",J314,"")</f>
        <v/>
      </c>
      <c r="O314" s="102" t="str">
        <f aca="false">IF(N314&lt;&gt;"","",M314)</f>
        <v/>
      </c>
      <c r="P314" s="103" t="str">
        <f aca="false">IF(A314="Composição",B314,"")</f>
        <v> 95114 </v>
      </c>
      <c r="Q314" s="102" t="n">
        <f aca="false">IF(P314&lt;&gt;"",SUMIF(L314:L394,L314,N314:N394),"")</f>
        <v>0</v>
      </c>
      <c r="R314" s="102" t="n">
        <f aca="false">IF(P314&lt;&gt;"",SUMIF(L314:L394,L314,O314:O394),"")</f>
        <v>1.22</v>
      </c>
    </row>
    <row r="315" customFormat="false" ht="37.5" hidden="false" customHeight="true" outlineLevel="0" collapsed="false">
      <c r="A315" s="143" t="s">
        <v>128</v>
      </c>
      <c r="B315" s="144" t="s">
        <v>336</v>
      </c>
      <c r="C315" s="143" t="str">
        <f aca="false">VLOOKUP(B315,INSUMOS!$A:$I,2,0)</f>
        <v>SINAPI</v>
      </c>
      <c r="D315" s="143" t="str">
        <f aca="false">VLOOKUP(B315,INSUMOS!$A:$I,3,0)</f>
        <v>MARTELO DEMOLIDOR PNEUMATICO MANUAL, PESO  DE 28 KG, COM SILENCIADOR</v>
      </c>
      <c r="E315" s="143" t="str">
        <f aca="false">VLOOKUP(B315,INSUMOS!$A:$I,4,0)</f>
        <v>Equipamento</v>
      </c>
      <c r="F315" s="143"/>
      <c r="G315" s="145" t="str">
        <f aca="false">VLOOKUP(B315,INSUMOS!$A:$I,5,0)</f>
        <v>UN</v>
      </c>
      <c r="H315" s="146" t="n">
        <v>6.4E-005</v>
      </c>
      <c r="I315" s="147" t="n">
        <f aca="false">VLOOKUP(B315,INSUMOS!$A:$I,8,0)</f>
        <v>19151.02</v>
      </c>
      <c r="J315" s="147" t="n">
        <f aca="false">TRUNC(H315*I315,2)</f>
        <v>1.22</v>
      </c>
      <c r="K315" s="217"/>
      <c r="L315" s="176" t="n">
        <f aca="false">IF(AND(A316&lt;&gt;"",A315=""),L314+1,L314)</f>
        <v>38</v>
      </c>
      <c r="M315" s="101" t="n">
        <f aca="false">IF(OR(A315="Insumo",A315="Composição Auxiliar"),J315,"")</f>
        <v>1.22</v>
      </c>
      <c r="N315" s="102" t="str">
        <f aca="false">IF(E315="Mão de Obra",J315,"")</f>
        <v/>
      </c>
      <c r="O315" s="102" t="n">
        <f aca="false">IF(N315&lt;&gt;"","",M315)</f>
        <v>1.22</v>
      </c>
      <c r="P315" s="103" t="str">
        <f aca="false">IF(A315="Composição",B315,"")</f>
        <v/>
      </c>
      <c r="Q315" s="102" t="str">
        <f aca="false">IF(P315&lt;&gt;"",SUMIF(L315:L394,L315,N315:N394),"")</f>
        <v/>
      </c>
      <c r="R315" s="102" t="str">
        <f aca="false">IF(P315&lt;&gt;"",SUMIF(L315:L394,L315,O315:O394),"")</f>
        <v/>
      </c>
    </row>
    <row r="316" customFormat="false" ht="37.5" hidden="false" customHeight="true" outlineLevel="0" collapsed="false">
      <c r="A316" s="149"/>
      <c r="B316" s="149"/>
      <c r="C316" s="149"/>
      <c r="D316" s="149"/>
      <c r="E316" s="149"/>
      <c r="F316" s="150"/>
      <c r="G316" s="149"/>
      <c r="H316" s="150"/>
      <c r="I316" s="149"/>
      <c r="J316" s="150"/>
      <c r="K316" s="217"/>
      <c r="L316" s="176" t="n">
        <f aca="false">IF(AND(A317&lt;&gt;"",A316=""),L315+1,L315)</f>
        <v>38</v>
      </c>
      <c r="M316" s="101" t="str">
        <f aca="false">IF(OR(A316="Insumo",A316="Composição Auxiliar"),J316,"")</f>
        <v/>
      </c>
      <c r="N316" s="102" t="str">
        <f aca="false">IF(E316="Mão de Obra",J316,"")</f>
        <v/>
      </c>
      <c r="O316" s="102" t="str">
        <f aca="false">IF(N316&lt;&gt;"","",M316)</f>
        <v/>
      </c>
      <c r="P316" s="103" t="str">
        <f aca="false">IF(A316="Composição",B316,"")</f>
        <v/>
      </c>
      <c r="Q316" s="102" t="str">
        <f aca="false">IF(P316&lt;&gt;"",SUMIF(L316:L394,L316,N316:N394),"")</f>
        <v/>
      </c>
      <c r="R316" s="102" t="str">
        <f aca="false">IF(P316&lt;&gt;"",SUMIF(L316:L394,L316,O316:O394),"")</f>
        <v/>
      </c>
    </row>
    <row r="317" customFormat="false" ht="37.5" hidden="false" customHeight="true" outlineLevel="0" collapsed="false">
      <c r="A317" s="149"/>
      <c r="B317" s="149"/>
      <c r="C317" s="149"/>
      <c r="D317" s="149"/>
      <c r="E317" s="149"/>
      <c r="F317" s="150"/>
      <c r="G317" s="149"/>
      <c r="H317" s="151"/>
      <c r="I317" s="151"/>
      <c r="J317" s="150"/>
      <c r="K317" s="217"/>
      <c r="L317" s="176" t="n">
        <f aca="false">IF(AND(A318&lt;&gt;"",A317=""),L316+1,L316)</f>
        <v>38</v>
      </c>
      <c r="M317" s="101" t="str">
        <f aca="false">IF(OR(A317="Insumo",A317="Composição Auxiliar"),J317,"")</f>
        <v/>
      </c>
      <c r="N317" s="102" t="str">
        <f aca="false">IF(E317="Mão de Obra",J317,"")</f>
        <v/>
      </c>
      <c r="O317" s="102" t="str">
        <f aca="false">IF(N317&lt;&gt;"","",M317)</f>
        <v/>
      </c>
      <c r="P317" s="103" t="str">
        <f aca="false">IF(A317="Composição",B317,"")</f>
        <v/>
      </c>
      <c r="Q317" s="102" t="str">
        <f aca="false">IF(P317&lt;&gt;"",SUMIF(L317:L394,L317,N317:N394),"")</f>
        <v/>
      </c>
      <c r="R317" s="102" t="str">
        <f aca="false">IF(P317&lt;&gt;"",SUMIF(L317:L394,L317,O317:O394),"")</f>
        <v/>
      </c>
    </row>
    <row r="318" customFormat="false" ht="14.5" hidden="false" customHeight="false" outlineLevel="0" collapsed="false">
      <c r="A318" s="155"/>
      <c r="B318" s="155"/>
      <c r="C318" s="155"/>
      <c r="D318" s="155"/>
      <c r="E318" s="155"/>
      <c r="F318" s="155"/>
      <c r="G318" s="155"/>
      <c r="H318" s="155"/>
      <c r="I318" s="155"/>
      <c r="J318" s="155"/>
      <c r="K318" s="217"/>
      <c r="L318" s="176" t="n">
        <f aca="false">IF(AND(A319&lt;&gt;"",A318=""),L317+1,L317)</f>
        <v>38</v>
      </c>
      <c r="M318" s="101" t="str">
        <f aca="false">IF(OR(A318="Insumo",A318="Composição Auxiliar"),J318,"")</f>
        <v/>
      </c>
      <c r="N318" s="102" t="str">
        <f aca="false">IF(E318="Mão de Obra",J318,"")</f>
        <v/>
      </c>
      <c r="O318" s="102" t="str">
        <f aca="false">IF(N318&lt;&gt;"","",M318)</f>
        <v/>
      </c>
      <c r="P318" s="103" t="str">
        <f aca="false">IF(A318="Composição",B318,"")</f>
        <v/>
      </c>
      <c r="Q318" s="102" t="str">
        <f aca="false">IF(P318&lt;&gt;"",SUMIF(L318:L394,L318,N318:N394),"")</f>
        <v/>
      </c>
      <c r="R318" s="102" t="str">
        <f aca="false">IF(P318&lt;&gt;"",SUMIF(L318:L394,L318,O318:O394),"")</f>
        <v/>
      </c>
    </row>
    <row r="319" customFormat="false" ht="14" hidden="false" customHeight="true" outlineLevel="0" collapsed="false">
      <c r="A319" s="118"/>
      <c r="B319" s="119" t="s">
        <v>115</v>
      </c>
      <c r="C319" s="118" t="s">
        <v>116</v>
      </c>
      <c r="D319" s="118" t="s">
        <v>117</v>
      </c>
      <c r="E319" s="118" t="s">
        <v>118</v>
      </c>
      <c r="F319" s="118"/>
      <c r="G319" s="120" t="s">
        <v>119</v>
      </c>
      <c r="H319" s="119" t="s">
        <v>120</v>
      </c>
      <c r="I319" s="119" t="s">
        <v>130</v>
      </c>
      <c r="J319" s="119" t="s">
        <v>131</v>
      </c>
      <c r="K319" s="217"/>
      <c r="L319" s="176" t="n">
        <f aca="false">IF(AND(A320&lt;&gt;"",A319=""),L318+1,L318)</f>
        <v>39</v>
      </c>
      <c r="M319" s="101" t="str">
        <f aca="false">IF(OR(A319="Insumo",A319="Composição Auxiliar"),J319,"")</f>
        <v/>
      </c>
      <c r="N319" s="102" t="str">
        <f aca="false">IF(E319="Mão de Obra",J319,"")</f>
        <v/>
      </c>
      <c r="O319" s="102" t="str">
        <f aca="false">IF(N319&lt;&gt;"","",M319)</f>
        <v/>
      </c>
      <c r="P319" s="103" t="str">
        <f aca="false">IF(A319="Composição",B319,"")</f>
        <v/>
      </c>
      <c r="Q319" s="102" t="str">
        <f aca="false">IF(P319&lt;&gt;"",SUMIF(L319:L394,L319,N319:N394),"")</f>
        <v/>
      </c>
      <c r="R319" s="102" t="str">
        <f aca="false">IF(P319&lt;&gt;"",SUMIF(L319:L394,L319,O319:O394),"")</f>
        <v/>
      </c>
    </row>
    <row r="320" customFormat="false" ht="25" hidden="false" customHeight="true" outlineLevel="0" collapsed="false">
      <c r="A320" s="122" t="s">
        <v>121</v>
      </c>
      <c r="B320" s="55" t="s">
        <v>328</v>
      </c>
      <c r="C320" s="122" t="s">
        <v>122</v>
      </c>
      <c r="D320" s="122" t="s">
        <v>329</v>
      </c>
      <c r="E320" s="122" t="s">
        <v>161</v>
      </c>
      <c r="F320" s="122"/>
      <c r="G320" s="123" t="s">
        <v>125</v>
      </c>
      <c r="H320" s="124" t="n">
        <v>1</v>
      </c>
      <c r="I320" s="125" t="n">
        <f aca="false">SUMIF(L:L,$L320,M:M)</f>
        <v>0.14</v>
      </c>
      <c r="J320" s="125" t="n">
        <f aca="false">TRUNC(H320*I320,2)</f>
        <v>0.14</v>
      </c>
      <c r="K320" s="217"/>
      <c r="L320" s="176" t="n">
        <f aca="false">IF(AND(A321&lt;&gt;"",A320=""),L319+1,L319)</f>
        <v>39</v>
      </c>
      <c r="M320" s="101" t="str">
        <f aca="false">IF(OR(A320="Insumo",A320="Composição Auxiliar"),J320,"")</f>
        <v/>
      </c>
      <c r="N320" s="102" t="str">
        <f aca="false">IF(E320="Mão de Obra",J320,"")</f>
        <v/>
      </c>
      <c r="O320" s="102" t="str">
        <f aca="false">IF(N320&lt;&gt;"","",M320)</f>
        <v/>
      </c>
      <c r="P320" s="103" t="str">
        <f aca="false">IF(A320="Composição",B320,"")</f>
        <v> 95115 </v>
      </c>
      <c r="Q320" s="102" t="n">
        <f aca="false">IF(P320&lt;&gt;"",SUMIF(L320:L394,L320,N320:N394),"")</f>
        <v>0</v>
      </c>
      <c r="R320" s="102" t="n">
        <f aca="false">IF(P320&lt;&gt;"",SUMIF(L320:L394,L320,O320:O394),"")</f>
        <v>0.14</v>
      </c>
    </row>
    <row r="321" customFormat="false" ht="25" hidden="false" customHeight="false" outlineLevel="0" collapsed="false">
      <c r="A321" s="143" t="s">
        <v>128</v>
      </c>
      <c r="B321" s="144" t="s">
        <v>336</v>
      </c>
      <c r="C321" s="143" t="str">
        <f aca="false">VLOOKUP(B321,INSUMOS!$A:$I,2,0)</f>
        <v>SINAPI</v>
      </c>
      <c r="D321" s="143" t="str">
        <f aca="false">VLOOKUP(B321,INSUMOS!$A:$I,3,0)</f>
        <v>MARTELO DEMOLIDOR PNEUMATICO MANUAL, PESO  DE 28 KG, COM SILENCIADOR</v>
      </c>
      <c r="E321" s="143" t="str">
        <f aca="false">VLOOKUP(B321,INSUMOS!$A:$I,4,0)</f>
        <v>Equipamento</v>
      </c>
      <c r="F321" s="143"/>
      <c r="G321" s="145" t="str">
        <f aca="false">VLOOKUP(B321,INSUMOS!$A:$I,5,0)</f>
        <v>UN</v>
      </c>
      <c r="H321" s="146" t="n">
        <v>7.6E-006</v>
      </c>
      <c r="I321" s="147" t="n">
        <f aca="false">VLOOKUP(B321,INSUMOS!$A:$I,8,0)</f>
        <v>19151.02</v>
      </c>
      <c r="J321" s="147" t="n">
        <f aca="false">TRUNC(H321*I321,2)</f>
        <v>0.14</v>
      </c>
      <c r="K321" s="217"/>
      <c r="L321" s="176" t="n">
        <f aca="false">IF(AND(A322&lt;&gt;"",A321=""),L320+1,L320)</f>
        <v>39</v>
      </c>
      <c r="M321" s="101" t="n">
        <f aca="false">IF(OR(A321="Insumo",A321="Composição Auxiliar"),J321,"")</f>
        <v>0.14</v>
      </c>
      <c r="N321" s="102" t="str">
        <f aca="false">IF(E321="Mão de Obra",J321,"")</f>
        <v/>
      </c>
      <c r="O321" s="102" t="n">
        <f aca="false">IF(N321&lt;&gt;"","",M321)</f>
        <v>0.14</v>
      </c>
      <c r="P321" s="103" t="str">
        <f aca="false">IF(A321="Composição",B321,"")</f>
        <v/>
      </c>
      <c r="Q321" s="102" t="str">
        <f aca="false">IF(P321&lt;&gt;"",SUMIF(L321:L394,L321,N321:N394),"")</f>
        <v/>
      </c>
      <c r="R321" s="102" t="str">
        <f aca="false">IF(P321&lt;&gt;"",SUMIF(L321:L394,L321,O321:O394),"")</f>
        <v/>
      </c>
    </row>
    <row r="322" customFormat="false" ht="37.5" hidden="false" customHeight="true" outlineLevel="0" collapsed="false">
      <c r="A322" s="149"/>
      <c r="B322" s="149"/>
      <c r="C322" s="149"/>
      <c r="D322" s="149"/>
      <c r="E322" s="149"/>
      <c r="F322" s="150"/>
      <c r="G322" s="149"/>
      <c r="H322" s="150"/>
      <c r="I322" s="149"/>
      <c r="J322" s="150"/>
      <c r="K322" s="217"/>
      <c r="L322" s="176" t="n">
        <f aca="false">IF(AND(A323&lt;&gt;"",A322=""),L321+1,L321)</f>
        <v>39</v>
      </c>
      <c r="M322" s="101" t="str">
        <f aca="false">IF(OR(A322="Insumo",A322="Composição Auxiliar"),J322,"")</f>
        <v/>
      </c>
      <c r="N322" s="102" t="str">
        <f aca="false">IF(E322="Mão de Obra",J322,"")</f>
        <v/>
      </c>
      <c r="O322" s="102" t="str">
        <f aca="false">IF(N322&lt;&gt;"","",M322)</f>
        <v/>
      </c>
      <c r="P322" s="103" t="str">
        <f aca="false">IF(A322="Composição",B322,"")</f>
        <v/>
      </c>
      <c r="Q322" s="102" t="str">
        <f aca="false">IF(P322&lt;&gt;"",SUMIF(L322:L394,L322,N322:N394),"")</f>
        <v/>
      </c>
      <c r="R322" s="102" t="str">
        <f aca="false">IF(P322&lt;&gt;"",SUMIF(L322:L394,L322,O322:O394),"")</f>
        <v/>
      </c>
    </row>
    <row r="323" customFormat="false" ht="37.5" hidden="false" customHeight="true" outlineLevel="0" collapsed="false">
      <c r="A323" s="149"/>
      <c r="B323" s="149"/>
      <c r="C323" s="149"/>
      <c r="D323" s="149"/>
      <c r="E323" s="149"/>
      <c r="F323" s="150"/>
      <c r="G323" s="149"/>
      <c r="H323" s="151"/>
      <c r="I323" s="151"/>
      <c r="J323" s="150"/>
      <c r="K323" s="217"/>
      <c r="L323" s="176" t="n">
        <f aca="false">IF(AND(A324&lt;&gt;"",A323=""),L322+1,L322)</f>
        <v>39</v>
      </c>
      <c r="M323" s="101" t="str">
        <f aca="false">IF(OR(A323="Insumo",A323="Composição Auxiliar"),J323,"")</f>
        <v/>
      </c>
      <c r="N323" s="102" t="str">
        <f aca="false">IF(E323="Mão de Obra",J323,"")</f>
        <v/>
      </c>
      <c r="O323" s="102" t="str">
        <f aca="false">IF(N323&lt;&gt;"","",M323)</f>
        <v/>
      </c>
      <c r="P323" s="103" t="str">
        <f aca="false">IF(A323="Composição",B323,"")</f>
        <v/>
      </c>
      <c r="Q323" s="102" t="str">
        <f aca="false">IF(P323&lt;&gt;"",SUMIF(L323:L394,L323,N323:N394),"")</f>
        <v/>
      </c>
      <c r="R323" s="102" t="str">
        <f aca="false">IF(P323&lt;&gt;"",SUMIF(L323:L394,L323,O323:O394),"")</f>
        <v/>
      </c>
    </row>
    <row r="324" customFormat="false" ht="25.5" hidden="false" customHeight="true" outlineLevel="0" collapsed="false">
      <c r="A324" s="155"/>
      <c r="B324" s="155"/>
      <c r="C324" s="155"/>
      <c r="D324" s="155"/>
      <c r="E324" s="155"/>
      <c r="F324" s="155"/>
      <c r="G324" s="155"/>
      <c r="H324" s="155"/>
      <c r="I324" s="155"/>
      <c r="J324" s="155"/>
      <c r="K324" s="217"/>
      <c r="L324" s="176" t="n">
        <f aca="false">IF(AND(A325&lt;&gt;"",A324=""),L323+1,L323)</f>
        <v>39</v>
      </c>
      <c r="M324" s="101" t="str">
        <f aca="false">IF(OR(A324="Insumo",A324="Composição Auxiliar"),J324,"")</f>
        <v/>
      </c>
      <c r="N324" s="102" t="str">
        <f aca="false">IF(E324="Mão de Obra",J324,"")</f>
        <v/>
      </c>
      <c r="O324" s="102" t="str">
        <f aca="false">IF(N324&lt;&gt;"","",M324)</f>
        <v/>
      </c>
      <c r="P324" s="103" t="str">
        <f aca="false">IF(A324="Composição",B324,"")</f>
        <v/>
      </c>
      <c r="Q324" s="102" t="str">
        <f aca="false">IF(P324&lt;&gt;"",SUMIF(L324:L394,L324,N324:N394),"")</f>
        <v/>
      </c>
      <c r="R324" s="102" t="str">
        <f aca="false">IF(P324&lt;&gt;"",SUMIF(L324:L394,L324,O324:O394),"")</f>
        <v/>
      </c>
    </row>
    <row r="325" customFormat="false" ht="25.5" hidden="false" customHeight="true" outlineLevel="0" collapsed="false">
      <c r="A325" s="118"/>
      <c r="B325" s="119" t="s">
        <v>115</v>
      </c>
      <c r="C325" s="118" t="s">
        <v>116</v>
      </c>
      <c r="D325" s="118" t="s">
        <v>117</v>
      </c>
      <c r="E325" s="118" t="s">
        <v>118</v>
      </c>
      <c r="F325" s="118"/>
      <c r="G325" s="120" t="s">
        <v>119</v>
      </c>
      <c r="H325" s="119" t="s">
        <v>120</v>
      </c>
      <c r="I325" s="119" t="s">
        <v>130</v>
      </c>
      <c r="J325" s="119" t="s">
        <v>131</v>
      </c>
      <c r="K325" s="217"/>
      <c r="L325" s="176" t="n">
        <f aca="false">IF(AND(A326&lt;&gt;"",A325=""),L324+1,L324)</f>
        <v>40</v>
      </c>
      <c r="M325" s="101" t="str">
        <f aca="false">IF(OR(A325="Insumo",A325="Composição Auxiliar"),J325,"")</f>
        <v/>
      </c>
      <c r="N325" s="102" t="str">
        <f aca="false">IF(E325="Mão de Obra",J325,"")</f>
        <v/>
      </c>
      <c r="O325" s="102" t="str">
        <f aca="false">IF(N325&lt;&gt;"","",M325)</f>
        <v/>
      </c>
      <c r="P325" s="103" t="str">
        <f aca="false">IF(A325="Composição",B325,"")</f>
        <v/>
      </c>
      <c r="Q325" s="102" t="str">
        <f aca="false">IF(P325&lt;&gt;"",SUMIF(L325:L394,L325,N325:N394),"")</f>
        <v/>
      </c>
      <c r="R325" s="102" t="str">
        <f aca="false">IF(P325&lt;&gt;"",SUMIF(L325:L394,L325,O325:O394),"")</f>
        <v/>
      </c>
    </row>
    <row r="326" customFormat="false" ht="25.5" hidden="false" customHeight="true" outlineLevel="0" collapsed="false">
      <c r="A326" s="122" t="s">
        <v>121</v>
      </c>
      <c r="B326" s="55" t="s">
        <v>334</v>
      </c>
      <c r="C326" s="122" t="s">
        <v>122</v>
      </c>
      <c r="D326" s="122" t="s">
        <v>335</v>
      </c>
      <c r="E326" s="122" t="s">
        <v>161</v>
      </c>
      <c r="F326" s="122"/>
      <c r="G326" s="123" t="s">
        <v>125</v>
      </c>
      <c r="H326" s="124" t="n">
        <v>1</v>
      </c>
      <c r="I326" s="125" t="n">
        <f aca="false">SUMIF(L:L,$L326,M:M)</f>
        <v>1.53</v>
      </c>
      <c r="J326" s="125" t="n">
        <f aca="false">TRUNC(H326*I326,2)</f>
        <v>1.53</v>
      </c>
      <c r="K326" s="217"/>
      <c r="L326" s="176" t="n">
        <f aca="false">IF(AND(A327&lt;&gt;"",A326=""),L325+1,L325)</f>
        <v>40</v>
      </c>
      <c r="M326" s="101" t="str">
        <f aca="false">IF(OR(A326="Insumo",A326="Composição Auxiliar"),J326,"")</f>
        <v/>
      </c>
      <c r="N326" s="102" t="str">
        <f aca="false">IF(E326="Mão de Obra",J326,"")</f>
        <v/>
      </c>
      <c r="O326" s="102" t="str">
        <f aca="false">IF(N326&lt;&gt;"","",M326)</f>
        <v/>
      </c>
      <c r="P326" s="103" t="str">
        <f aca="false">IF(A326="Composição",B326,"")</f>
        <v> 53863 </v>
      </c>
      <c r="Q326" s="102" t="n">
        <f aca="false">IF(P326&lt;&gt;"",SUMIF(L326:L394,L326,N326:N394),"")</f>
        <v>0</v>
      </c>
      <c r="R326" s="102" t="n">
        <f aca="false">IF(P326&lt;&gt;"",SUMIF(L326:L394,L326,O326:O394),"")</f>
        <v>1.53</v>
      </c>
    </row>
    <row r="327" customFormat="false" ht="25" hidden="false" customHeight="false" outlineLevel="0" collapsed="false">
      <c r="A327" s="143" t="s">
        <v>128</v>
      </c>
      <c r="B327" s="144" t="s">
        <v>336</v>
      </c>
      <c r="C327" s="143" t="str">
        <f aca="false">VLOOKUP(B327,INSUMOS!$A:$I,2,0)</f>
        <v>SINAPI</v>
      </c>
      <c r="D327" s="143" t="str">
        <f aca="false">VLOOKUP(B327,INSUMOS!$A:$I,3,0)</f>
        <v>MARTELO DEMOLIDOR PNEUMATICO MANUAL, PESO  DE 28 KG, COM SILENCIADOR</v>
      </c>
      <c r="E327" s="143" t="str">
        <f aca="false">VLOOKUP(B327,INSUMOS!$A:$I,4,0)</f>
        <v>Equipamento</v>
      </c>
      <c r="F327" s="143"/>
      <c r="G327" s="145" t="str">
        <f aca="false">VLOOKUP(B327,INSUMOS!$A:$I,5,0)</f>
        <v>UN</v>
      </c>
      <c r="H327" s="146" t="n">
        <v>8E-005</v>
      </c>
      <c r="I327" s="147" t="n">
        <f aca="false">VLOOKUP(B327,INSUMOS!$A:$I,8,0)</f>
        <v>19151.02</v>
      </c>
      <c r="J327" s="147" t="n">
        <f aca="false">TRUNC(H327*I327,2)</f>
        <v>1.53</v>
      </c>
      <c r="K327" s="217"/>
      <c r="L327" s="176" t="n">
        <f aca="false">IF(AND(A328&lt;&gt;"",A327=""),L326+1,L326)</f>
        <v>40</v>
      </c>
      <c r="M327" s="101" t="n">
        <f aca="false">IF(OR(A327="Insumo",A327="Composição Auxiliar"),J327,"")</f>
        <v>1.53</v>
      </c>
      <c r="N327" s="102" t="str">
        <f aca="false">IF(E327="Mão de Obra",J327,"")</f>
        <v/>
      </c>
      <c r="O327" s="102" t="n">
        <f aca="false">IF(N327&lt;&gt;"","",M327)</f>
        <v>1.53</v>
      </c>
      <c r="P327" s="103" t="str">
        <f aca="false">IF(A327="Composição",B327,"")</f>
        <v/>
      </c>
      <c r="Q327" s="102" t="str">
        <f aca="false">IF(P327&lt;&gt;"",SUMIF(L327:L394,L327,N327:N394),"")</f>
        <v/>
      </c>
      <c r="R327" s="102" t="str">
        <f aca="false">IF(P327&lt;&gt;"",SUMIF(L327:L394,L327,O327:O394),"")</f>
        <v/>
      </c>
    </row>
    <row r="328" customFormat="false" ht="37.5" hidden="false" customHeight="true" outlineLevel="0" collapsed="false">
      <c r="A328" s="149"/>
      <c r="B328" s="149"/>
      <c r="C328" s="149"/>
      <c r="D328" s="149"/>
      <c r="E328" s="149"/>
      <c r="F328" s="150"/>
      <c r="G328" s="149"/>
      <c r="H328" s="150"/>
      <c r="I328" s="149"/>
      <c r="J328" s="150"/>
      <c r="K328" s="217"/>
      <c r="L328" s="176" t="n">
        <f aca="false">IF(AND(A329&lt;&gt;"",A328=""),L327+1,L327)</f>
        <v>40</v>
      </c>
      <c r="M328" s="101" t="str">
        <f aca="false">IF(OR(A328="Insumo",A328="Composição Auxiliar"),J328,"")</f>
        <v/>
      </c>
      <c r="N328" s="102" t="str">
        <f aca="false">IF(E328="Mão de Obra",J328,"")</f>
        <v/>
      </c>
      <c r="O328" s="102" t="str">
        <f aca="false">IF(N328&lt;&gt;"","",M328)</f>
        <v/>
      </c>
      <c r="P328" s="103" t="str">
        <f aca="false">IF(A328="Composição",B328,"")</f>
        <v/>
      </c>
      <c r="Q328" s="102" t="str">
        <f aca="false">IF(P328&lt;&gt;"",SUMIF(L328:L394,L328,N328:N394),"")</f>
        <v/>
      </c>
      <c r="R328" s="102" t="str">
        <f aca="false">IF(P328&lt;&gt;"",SUMIF(L328:L394,L328,O328:O394),"")</f>
        <v/>
      </c>
    </row>
    <row r="329" customFormat="false" ht="37.5" hidden="false" customHeight="true" outlineLevel="0" collapsed="false">
      <c r="A329" s="149"/>
      <c r="B329" s="149"/>
      <c r="C329" s="149"/>
      <c r="D329" s="149"/>
      <c r="E329" s="149"/>
      <c r="F329" s="150"/>
      <c r="G329" s="149"/>
      <c r="H329" s="151"/>
      <c r="I329" s="151"/>
      <c r="J329" s="150"/>
      <c r="K329" s="217"/>
      <c r="L329" s="176" t="n">
        <f aca="false">IF(AND(A330&lt;&gt;"",A329=""),L328+1,L328)</f>
        <v>40</v>
      </c>
      <c r="M329" s="101" t="str">
        <f aca="false">IF(OR(A329="Insumo",A329="Composição Auxiliar"),J329,"")</f>
        <v/>
      </c>
      <c r="N329" s="102" t="str">
        <f aca="false">IF(E329="Mão de Obra",J329,"")</f>
        <v/>
      </c>
      <c r="O329" s="102" t="str">
        <f aca="false">IF(N329&lt;&gt;"","",M329)</f>
        <v/>
      </c>
      <c r="P329" s="103" t="str">
        <f aca="false">IF(A329="Composição",B329,"")</f>
        <v/>
      </c>
      <c r="Q329" s="102" t="str">
        <f aca="false">IF(P329&lt;&gt;"",SUMIF(L329:L394,L329,N329:N394),"")</f>
        <v/>
      </c>
      <c r="R329" s="102" t="str">
        <f aca="false">IF(P329&lt;&gt;"",SUMIF(L329:L394,L329,O329:O394),"")</f>
        <v/>
      </c>
    </row>
    <row r="330" customFormat="false" ht="14.5" hidden="false" customHeight="false" outlineLevel="0" collapsed="false">
      <c r="A330" s="155"/>
      <c r="B330" s="155"/>
      <c r="C330" s="155"/>
      <c r="D330" s="155"/>
      <c r="E330" s="155"/>
      <c r="F330" s="155"/>
      <c r="G330" s="155"/>
      <c r="H330" s="155"/>
      <c r="I330" s="155"/>
      <c r="J330" s="155"/>
      <c r="K330" s="217"/>
      <c r="L330" s="176" t="n">
        <f aca="false">IF(AND(A331&lt;&gt;"",A330=""),L329+1,L329)</f>
        <v>40</v>
      </c>
      <c r="M330" s="101" t="str">
        <f aca="false">IF(OR(A330="Insumo",A330="Composição Auxiliar"),J330,"")</f>
        <v/>
      </c>
      <c r="N330" s="102" t="str">
        <f aca="false">IF(E330="Mão de Obra",J330,"")</f>
        <v/>
      </c>
      <c r="O330" s="102" t="str">
        <f aca="false">IF(N330&lt;&gt;"","",M330)</f>
        <v/>
      </c>
      <c r="P330" s="103" t="str">
        <f aca="false">IF(A330="Composição",B330,"")</f>
        <v/>
      </c>
      <c r="Q330" s="102" t="str">
        <f aca="false">IF(P330&lt;&gt;"",SUMIF(L330:L394,L330,N330:N394),"")</f>
        <v/>
      </c>
      <c r="R330" s="102" t="str">
        <f aca="false">IF(P330&lt;&gt;"",SUMIF(L330:L394,L330,O330:O394),"")</f>
        <v/>
      </c>
    </row>
    <row r="331" customFormat="false" ht="14" hidden="false" customHeight="true" outlineLevel="0" collapsed="false">
      <c r="A331" s="118"/>
      <c r="B331" s="119" t="s">
        <v>115</v>
      </c>
      <c r="C331" s="118" t="s">
        <v>116</v>
      </c>
      <c r="D331" s="118" t="s">
        <v>117</v>
      </c>
      <c r="E331" s="118" t="s">
        <v>118</v>
      </c>
      <c r="F331" s="118"/>
      <c r="G331" s="120" t="s">
        <v>119</v>
      </c>
      <c r="H331" s="119" t="s">
        <v>120</v>
      </c>
      <c r="I331" s="119" t="s">
        <v>130</v>
      </c>
      <c r="J331" s="119" t="s">
        <v>131</v>
      </c>
      <c r="K331" s="217"/>
      <c r="L331" s="176" t="n">
        <f aca="false">IF(AND(A332&lt;&gt;"",A331=""),L330+1,L330)</f>
        <v>41</v>
      </c>
      <c r="M331" s="101" t="str">
        <f aca="false">IF(OR(A331="Insumo",A331="Composição Auxiliar"),J331,"")</f>
        <v/>
      </c>
      <c r="N331" s="102" t="str">
        <f aca="false">IF(E331="Mão de Obra",J331,"")</f>
        <v/>
      </c>
      <c r="O331" s="102" t="str">
        <f aca="false">IF(N331&lt;&gt;"","",M331)</f>
        <v/>
      </c>
      <c r="P331" s="103" t="str">
        <f aca="false">IF(A331="Composição",B331,"")</f>
        <v/>
      </c>
      <c r="Q331" s="102" t="str">
        <f aca="false">IF(P331&lt;&gt;"",SUMIF(L331:L394,L331,N331:N394),"")</f>
        <v/>
      </c>
      <c r="R331" s="102" t="str">
        <f aca="false">IF(P331&lt;&gt;"",SUMIF(L331:L394,L331,O331:O394),"")</f>
        <v/>
      </c>
    </row>
    <row r="332" customFormat="false" ht="25.5" hidden="false" customHeight="true" outlineLevel="0" collapsed="false">
      <c r="A332" s="122" t="s">
        <v>121</v>
      </c>
      <c r="B332" s="55" t="s">
        <v>188</v>
      </c>
      <c r="C332" s="122" t="s">
        <v>122</v>
      </c>
      <c r="D332" s="122" t="s">
        <v>189</v>
      </c>
      <c r="E332" s="122" t="s">
        <v>124</v>
      </c>
      <c r="F332" s="122"/>
      <c r="G332" s="123" t="s">
        <v>125</v>
      </c>
      <c r="H332" s="124" t="n">
        <v>1</v>
      </c>
      <c r="I332" s="125" t="n">
        <f aca="false">SUMIF(L:L,$L332,M:M)</f>
        <v>29.31</v>
      </c>
      <c r="J332" s="125" t="n">
        <f aca="false">TRUNC(H332*I332,2)</f>
        <v>29.31</v>
      </c>
      <c r="K332" s="217"/>
      <c r="L332" s="176" t="n">
        <f aca="false">IF(AND(A333&lt;&gt;"",A332=""),L331+1,L331)</f>
        <v>41</v>
      </c>
      <c r="M332" s="101" t="str">
        <f aca="false">IF(OR(A332="Insumo",A332="Composição Auxiliar"),J332,"")</f>
        <v/>
      </c>
      <c r="N332" s="102" t="str">
        <f aca="false">IF(E332="Mão de Obra",J332,"")</f>
        <v/>
      </c>
      <c r="O332" s="102" t="str">
        <f aca="false">IF(N332&lt;&gt;"","",M332)</f>
        <v/>
      </c>
      <c r="P332" s="103" t="str">
        <f aca="false">IF(A332="Composição",B332,"")</f>
        <v> 88286 </v>
      </c>
      <c r="Q332" s="102" t="n">
        <f aca="false">IF(P332&lt;&gt;"",SUMIF(L332:L394,L332,N332:N394),"")</f>
        <v>24.49</v>
      </c>
      <c r="R332" s="102" t="n">
        <f aca="false">IF(P332&lt;&gt;"",SUMIF(L332:L394,L332,O332:O394),"")</f>
        <v>4.82</v>
      </c>
    </row>
    <row r="333" customFormat="false" ht="25.5" hidden="false" customHeight="true" outlineLevel="0" collapsed="false">
      <c r="A333" s="129" t="s">
        <v>126</v>
      </c>
      <c r="B333" s="130" t="s">
        <v>298</v>
      </c>
      <c r="C333" s="129" t="s">
        <v>122</v>
      </c>
      <c r="D333" s="129" t="s">
        <v>299</v>
      </c>
      <c r="E333" s="129" t="s">
        <v>124</v>
      </c>
      <c r="F333" s="129"/>
      <c r="G333" s="131" t="s">
        <v>125</v>
      </c>
      <c r="H333" s="132" t="n">
        <v>1</v>
      </c>
      <c r="I333" s="133" t="n">
        <f aca="false">SUMIFS(J:J,A:A,"Composição",B:B,$B333)</f>
        <v>0.32</v>
      </c>
      <c r="J333" s="133" t="n">
        <f aca="false">TRUNC(H333*I333,2)</f>
        <v>0.32</v>
      </c>
      <c r="K333" s="217"/>
      <c r="L333" s="176" t="n">
        <f aca="false">IF(AND(A334&lt;&gt;"",A333=""),L332+1,L332)</f>
        <v>41</v>
      </c>
      <c r="M333" s="101" t="n">
        <f aca="false">IF(OR(A333="Insumo",A333="Composição Auxiliar"),J333,"")</f>
        <v>0.32</v>
      </c>
      <c r="N333" s="102" t="str">
        <f aca="false">IF(E333="Mão de Obra",J333,"")</f>
        <v/>
      </c>
      <c r="O333" s="102" t="n">
        <f aca="false">IF(N333&lt;&gt;"","",M333)</f>
        <v>0.32</v>
      </c>
      <c r="P333" s="103" t="str">
        <f aca="false">IF(A333="Composição",B333,"")</f>
        <v/>
      </c>
      <c r="Q333" s="102" t="str">
        <f aca="false">IF(P333&lt;&gt;"",SUMIF(L333:L394,L333,N333:N394),"")</f>
        <v/>
      </c>
      <c r="R333" s="102" t="str">
        <f aca="false">IF(P333&lt;&gt;"",SUMIF(L333:L394,L333,O333:O394),"")</f>
        <v/>
      </c>
    </row>
    <row r="334" customFormat="false" ht="37.5" hidden="false" customHeight="true" outlineLevel="0" collapsed="false">
      <c r="A334" s="143" t="s">
        <v>128</v>
      </c>
      <c r="B334" s="144" t="s">
        <v>129</v>
      </c>
      <c r="C334" s="143" t="str">
        <f aca="false">VLOOKUP(B334,INSUMOS!$A:$I,2,0)</f>
        <v>SINAPI</v>
      </c>
      <c r="D334" s="143" t="str">
        <f aca="false">VLOOKUP(B334,INSUMOS!$A:$I,3,0)</f>
        <v>ALIMENTACAO - HORISTA (COLETADO CAIXA)</v>
      </c>
      <c r="E334" s="143" t="str">
        <f aca="false">VLOOKUP(B334,INSUMOS!$A:$I,4,0)</f>
        <v>Outros</v>
      </c>
      <c r="F334" s="143"/>
      <c r="G334" s="145" t="str">
        <f aca="false">VLOOKUP(B334,INSUMOS!$A:$I,5,0)</f>
        <v>H</v>
      </c>
      <c r="H334" s="146" t="n">
        <v>1</v>
      </c>
      <c r="I334" s="147" t="n">
        <f aca="false">VLOOKUP(B334,INSUMOS!$A:$I,8,0)</f>
        <v>2.11</v>
      </c>
      <c r="J334" s="147" t="n">
        <f aca="false">TRUNC(H334*I334,2)</f>
        <v>2.11</v>
      </c>
      <c r="K334" s="217"/>
      <c r="L334" s="176" t="n">
        <f aca="false">IF(AND(A335&lt;&gt;"",A334=""),L333+1,L333)</f>
        <v>41</v>
      </c>
      <c r="M334" s="101" t="n">
        <f aca="false">IF(OR(A334="Insumo",A334="Composição Auxiliar"),J334,"")</f>
        <v>2.11</v>
      </c>
      <c r="N334" s="102" t="str">
        <f aca="false">IF(E334="Mão de Obra",J334,"")</f>
        <v/>
      </c>
      <c r="O334" s="102" t="n">
        <f aca="false">IF(N334&lt;&gt;"","",M334)</f>
        <v>2.11</v>
      </c>
      <c r="P334" s="103" t="str">
        <f aca="false">IF(A334="Composição",B334,"")</f>
        <v/>
      </c>
      <c r="Q334" s="102" t="str">
        <f aca="false">IF(P334&lt;&gt;"",SUMIF(L334:L394,L334,N334:N394),"")</f>
        <v/>
      </c>
      <c r="R334" s="102" t="str">
        <f aca="false">IF(P334&lt;&gt;"",SUMIF(L334:L394,L334,O334:O394),"")</f>
        <v/>
      </c>
    </row>
    <row r="335" customFormat="false" ht="37.5" hidden="false" customHeight="true" outlineLevel="0" collapsed="false">
      <c r="A335" s="143" t="s">
        <v>128</v>
      </c>
      <c r="B335" s="144" t="s">
        <v>337</v>
      </c>
      <c r="C335" s="143" t="str">
        <f aca="false">VLOOKUP(B335,INSUMOS!$A:$I,2,0)</f>
        <v>SINAPI</v>
      </c>
      <c r="D335" s="143" t="str">
        <f aca="false">VLOOKUP(B335,INSUMOS!$A:$I,3,0)</f>
        <v>EPI - FAMILIA OPERADOR ESCAVADEIRA - HORISTA (ENCARGOS COMPLEMENTARES - COLETADO CAIXA)</v>
      </c>
      <c r="E335" s="143" t="str">
        <f aca="false">VLOOKUP(B335,INSUMOS!$A:$I,4,0)</f>
        <v>Equipamento</v>
      </c>
      <c r="F335" s="143"/>
      <c r="G335" s="145" t="str">
        <f aca="false">VLOOKUP(B335,INSUMOS!$A:$I,5,0)</f>
        <v>H</v>
      </c>
      <c r="H335" s="146" t="n">
        <v>1</v>
      </c>
      <c r="I335" s="147" t="n">
        <f aca="false">VLOOKUP(B335,INSUMOS!$A:$I,8,0)</f>
        <v>0.76</v>
      </c>
      <c r="J335" s="147" t="n">
        <f aca="false">TRUNC(H335*I335,2)</f>
        <v>0.76</v>
      </c>
      <c r="K335" s="217"/>
      <c r="L335" s="176" t="n">
        <f aca="false">IF(AND(A336&lt;&gt;"",A335=""),L334+1,L334)</f>
        <v>41</v>
      </c>
      <c r="M335" s="101" t="n">
        <f aca="false">IF(OR(A335="Insumo",A335="Composição Auxiliar"),J335,"")</f>
        <v>0.76</v>
      </c>
      <c r="N335" s="102" t="str">
        <f aca="false">IF(E335="Mão de Obra",J335,"")</f>
        <v/>
      </c>
      <c r="O335" s="102" t="n">
        <f aca="false">IF(N335&lt;&gt;"","",M335)</f>
        <v>0.76</v>
      </c>
      <c r="P335" s="103" t="str">
        <f aca="false">IF(A335="Composição",B335,"")</f>
        <v/>
      </c>
      <c r="Q335" s="102" t="str">
        <f aca="false">IF(P335&lt;&gt;"",SUMIF(L335:L394,L335,N335:N394),"")</f>
        <v/>
      </c>
      <c r="R335" s="102" t="str">
        <f aca="false">IF(P335&lt;&gt;"",SUMIF(L335:L394,L335,O335:O394),"")</f>
        <v/>
      </c>
    </row>
    <row r="336" customFormat="false" ht="14" hidden="false" customHeight="false" outlineLevel="0" collapsed="false">
      <c r="A336" s="143" t="s">
        <v>128</v>
      </c>
      <c r="B336" s="144" t="s">
        <v>245</v>
      </c>
      <c r="C336" s="143" t="str">
        <f aca="false">VLOOKUP(B336,INSUMOS!$A:$I,2,0)</f>
        <v>SINAPI</v>
      </c>
      <c r="D336" s="143" t="str">
        <f aca="false">VLOOKUP(B336,INSUMOS!$A:$I,3,0)</f>
        <v>EXAMES - HORISTA (COLETADO CAIXA)</v>
      </c>
      <c r="E336" s="143" t="str">
        <f aca="false">VLOOKUP(B336,INSUMOS!$A:$I,4,0)</f>
        <v>Outros</v>
      </c>
      <c r="F336" s="143"/>
      <c r="G336" s="145" t="str">
        <f aca="false">VLOOKUP(B336,INSUMOS!$A:$I,5,0)</f>
        <v>H</v>
      </c>
      <c r="H336" s="146" t="n">
        <v>1</v>
      </c>
      <c r="I336" s="147" t="n">
        <f aca="false">VLOOKUP(B336,INSUMOS!$A:$I,8,0)</f>
        <v>0.81</v>
      </c>
      <c r="J336" s="147" t="n">
        <f aca="false">TRUNC(H336*I336,2)</f>
        <v>0.81</v>
      </c>
      <c r="K336" s="217"/>
      <c r="L336" s="176" t="n">
        <f aca="false">IF(AND(A337&lt;&gt;"",A336=""),L335+1,L335)</f>
        <v>41</v>
      </c>
      <c r="M336" s="101" t="n">
        <f aca="false">IF(OR(A336="Insumo",A336="Composição Auxiliar"),J336,"")</f>
        <v>0.81</v>
      </c>
      <c r="N336" s="102" t="str">
        <f aca="false">IF(E336="Mão de Obra",J336,"")</f>
        <v/>
      </c>
      <c r="O336" s="102" t="n">
        <f aca="false">IF(N336&lt;&gt;"","",M336)</f>
        <v>0.81</v>
      </c>
      <c r="P336" s="103" t="str">
        <f aca="false">IF(A336="Composição",B336,"")</f>
        <v/>
      </c>
      <c r="Q336" s="102" t="str">
        <f aca="false">IF(P336&lt;&gt;"",SUMIF(L336:L394,L336,N336:N394),"")</f>
        <v/>
      </c>
      <c r="R336" s="102" t="str">
        <f aca="false">IF(P336&lt;&gt;"",SUMIF(L336:L394,L336,O336:O394),"")</f>
        <v/>
      </c>
    </row>
    <row r="337" customFormat="false" ht="25" hidden="false" customHeight="false" outlineLevel="0" collapsed="false">
      <c r="A337" s="143" t="s">
        <v>128</v>
      </c>
      <c r="B337" s="144" t="s">
        <v>338</v>
      </c>
      <c r="C337" s="143" t="str">
        <f aca="false">VLOOKUP(B337,INSUMOS!$A:$I,2,0)</f>
        <v>SINAPI</v>
      </c>
      <c r="D337" s="143" t="str">
        <f aca="false">VLOOKUP(B337,INSUMOS!$A:$I,3,0)</f>
        <v>FERRAMENTAS - FAMILIA OPERADOR ESCAVADEIRA - HORISTA (ENCARGOS COMPLEMENTARES - COLETADO CAIXA)</v>
      </c>
      <c r="E337" s="143" t="str">
        <f aca="false">VLOOKUP(B337,INSUMOS!$A:$I,4,0)</f>
        <v>Equipamento</v>
      </c>
      <c r="F337" s="143"/>
      <c r="G337" s="145" t="str">
        <f aca="false">VLOOKUP(B337,INSUMOS!$A:$I,5,0)</f>
        <v>H</v>
      </c>
      <c r="H337" s="146" t="n">
        <v>1</v>
      </c>
      <c r="I337" s="147" t="n">
        <f aca="false">VLOOKUP(B337,INSUMOS!$A:$I,8,0)</f>
        <v>0.01</v>
      </c>
      <c r="J337" s="147" t="n">
        <f aca="false">TRUNC(H337*I337,2)</f>
        <v>0.01</v>
      </c>
      <c r="K337" s="217"/>
      <c r="L337" s="176" t="n">
        <f aca="false">IF(AND(A338&lt;&gt;"",A337=""),L336+1,L336)</f>
        <v>41</v>
      </c>
      <c r="M337" s="101" t="n">
        <f aca="false">IF(OR(A337="Insumo",A337="Composição Auxiliar"),J337,"")</f>
        <v>0.01</v>
      </c>
      <c r="N337" s="102" t="str">
        <f aca="false">IF(E337="Mão de Obra",J337,"")</f>
        <v/>
      </c>
      <c r="O337" s="102" t="n">
        <f aca="false">IF(N337&lt;&gt;"","",M337)</f>
        <v>0.01</v>
      </c>
      <c r="P337" s="103" t="str">
        <f aca="false">IF(A337="Composição",B337,"")</f>
        <v/>
      </c>
      <c r="Q337" s="102" t="str">
        <f aca="false">IF(P337&lt;&gt;"",SUMIF(L337:L394,L337,N337:N394),"")</f>
        <v/>
      </c>
      <c r="R337" s="102" t="str">
        <f aca="false">IF(P337&lt;&gt;"",SUMIF(L337:L394,L337,O337:O394),"")</f>
        <v/>
      </c>
    </row>
    <row r="338" customFormat="false" ht="14" hidden="false" customHeight="false" outlineLevel="0" collapsed="false">
      <c r="A338" s="143" t="s">
        <v>128</v>
      </c>
      <c r="B338" s="144" t="s">
        <v>300</v>
      </c>
      <c r="C338" s="143" t="str">
        <f aca="false">VLOOKUP(B338,INSUMOS!$A:$I,2,0)</f>
        <v>SINAPI</v>
      </c>
      <c r="D338" s="143" t="str">
        <f aca="false">VLOOKUP(B338,INSUMOS!$A:$I,3,0)</f>
        <v>MOTORISTA OPERADOR DE CAMINHAO COM MUNCK</v>
      </c>
      <c r="E338" s="143" t="str">
        <f aca="false">VLOOKUP(B338,INSUMOS!$A:$I,4,0)</f>
        <v>Mão de Obra</v>
      </c>
      <c r="F338" s="143"/>
      <c r="G338" s="145" t="str">
        <f aca="false">VLOOKUP(B338,INSUMOS!$A:$I,5,0)</f>
        <v>H</v>
      </c>
      <c r="H338" s="146" t="n">
        <v>1</v>
      </c>
      <c r="I338" s="147" t="n">
        <f aca="false">VLOOKUP(B338,INSUMOS!$A:$I,8,0)</f>
        <v>24.49</v>
      </c>
      <c r="J338" s="147" t="n">
        <f aca="false">TRUNC(H338*I338,2)</f>
        <v>24.49</v>
      </c>
      <c r="K338" s="217"/>
      <c r="L338" s="176" t="n">
        <f aca="false">IF(AND(A339&lt;&gt;"",A338=""),L337+1,L337)</f>
        <v>41</v>
      </c>
      <c r="M338" s="101" t="n">
        <f aca="false">IF(OR(A338="Insumo",A338="Composição Auxiliar"),J338,"")</f>
        <v>24.49</v>
      </c>
      <c r="N338" s="102" t="n">
        <f aca="false">IF(E338="Mão de Obra",J338,"")</f>
        <v>24.49</v>
      </c>
      <c r="O338" s="102" t="str">
        <f aca="false">IF(N338&lt;&gt;"","",M338)</f>
        <v/>
      </c>
      <c r="P338" s="103" t="str">
        <f aca="false">IF(A338="Composição",B338,"")</f>
        <v/>
      </c>
      <c r="Q338" s="102" t="str">
        <f aca="false">IF(P338&lt;&gt;"",SUMIF(L338:L394,L338,N338:N394),"")</f>
        <v/>
      </c>
      <c r="R338" s="102" t="str">
        <f aca="false">IF(P338&lt;&gt;"",SUMIF(L338:L394,L338,O338:O394),"")</f>
        <v/>
      </c>
    </row>
    <row r="339" customFormat="false" ht="14" hidden="false" customHeight="false" outlineLevel="0" collapsed="false">
      <c r="A339" s="143" t="s">
        <v>128</v>
      </c>
      <c r="B339" s="144" t="s">
        <v>247</v>
      </c>
      <c r="C339" s="143" t="str">
        <f aca="false">VLOOKUP(B339,INSUMOS!$A:$I,2,0)</f>
        <v>SINAPI</v>
      </c>
      <c r="D339" s="143" t="str">
        <f aca="false">VLOOKUP(B339,INSUMOS!$A:$I,3,0)</f>
        <v>SEGURO - HORISTA (COLETADO CAIXA)</v>
      </c>
      <c r="E339" s="143" t="str">
        <f aca="false">VLOOKUP(B339,INSUMOS!$A:$I,4,0)</f>
        <v>Taxas</v>
      </c>
      <c r="F339" s="143"/>
      <c r="G339" s="145" t="str">
        <f aca="false">VLOOKUP(B339,INSUMOS!$A:$I,5,0)</f>
        <v>H</v>
      </c>
      <c r="H339" s="146" t="n">
        <v>1</v>
      </c>
      <c r="I339" s="147" t="n">
        <f aca="false">VLOOKUP(B339,INSUMOS!$A:$I,8,0)</f>
        <v>0.06</v>
      </c>
      <c r="J339" s="147" t="n">
        <f aca="false">TRUNC(H339*I339,2)</f>
        <v>0.06</v>
      </c>
      <c r="K339" s="217"/>
      <c r="L339" s="176" t="n">
        <f aca="false">IF(AND(A340&lt;&gt;"",A339=""),L338+1,L338)</f>
        <v>41</v>
      </c>
      <c r="M339" s="101" t="n">
        <f aca="false">IF(OR(A339="Insumo",A339="Composição Auxiliar"),J339,"")</f>
        <v>0.06</v>
      </c>
      <c r="N339" s="102" t="str">
        <f aca="false">IF(E339="Mão de Obra",J339,"")</f>
        <v/>
      </c>
      <c r="O339" s="102" t="n">
        <f aca="false">IF(N339&lt;&gt;"","",M339)</f>
        <v>0.06</v>
      </c>
      <c r="P339" s="103" t="str">
        <f aca="false">IF(A339="Composição",B339,"")</f>
        <v/>
      </c>
      <c r="Q339" s="102" t="str">
        <f aca="false">IF(P339&lt;&gt;"",SUMIF(L339:L394,L339,N339:N394),"")</f>
        <v/>
      </c>
      <c r="R339" s="102" t="str">
        <f aca="false">IF(P339&lt;&gt;"",SUMIF(L339:L394,L339,O339:O394),"")</f>
        <v/>
      </c>
    </row>
    <row r="340" customFormat="false" ht="37.5" hidden="false" customHeight="true" outlineLevel="0" collapsed="false">
      <c r="A340" s="143" t="s">
        <v>128</v>
      </c>
      <c r="B340" s="144" t="s">
        <v>255</v>
      </c>
      <c r="C340" s="143" t="str">
        <f aca="false">VLOOKUP(B340,INSUMOS!$A:$I,2,0)</f>
        <v>SINAPI</v>
      </c>
      <c r="D340" s="143" t="str">
        <f aca="false">VLOOKUP(B340,INSUMOS!$A:$I,3,0)</f>
        <v>TRANSPORTE - HORISTA (COLETADO CAIXA)</v>
      </c>
      <c r="E340" s="143" t="str">
        <f aca="false">VLOOKUP(B340,INSUMOS!$A:$I,4,0)</f>
        <v>Serviços</v>
      </c>
      <c r="F340" s="143"/>
      <c r="G340" s="145" t="str">
        <f aca="false">VLOOKUP(B340,INSUMOS!$A:$I,5,0)</f>
        <v>H</v>
      </c>
      <c r="H340" s="146" t="n">
        <v>1</v>
      </c>
      <c r="I340" s="147" t="n">
        <f aca="false">VLOOKUP(B340,INSUMOS!$A:$I,8,0)</f>
        <v>0.75</v>
      </c>
      <c r="J340" s="147" t="n">
        <f aca="false">TRUNC(H340*I340,2)</f>
        <v>0.75</v>
      </c>
      <c r="K340" s="217"/>
      <c r="L340" s="176" t="n">
        <f aca="false">IF(AND(A341&lt;&gt;"",A340=""),L339+1,L339)</f>
        <v>41</v>
      </c>
      <c r="M340" s="101" t="n">
        <f aca="false">IF(OR(A340="Insumo",A340="Composição Auxiliar"),J340,"")</f>
        <v>0.75</v>
      </c>
      <c r="N340" s="102" t="str">
        <f aca="false">IF(E340="Mão de Obra",J340,"")</f>
        <v/>
      </c>
      <c r="O340" s="102" t="n">
        <f aca="false">IF(N340&lt;&gt;"","",M340)</f>
        <v>0.75</v>
      </c>
      <c r="P340" s="103" t="str">
        <f aca="false">IF(A340="Composição",B340,"")</f>
        <v/>
      </c>
      <c r="Q340" s="102" t="str">
        <f aca="false">IF(P340&lt;&gt;"",SUMIF(L340:L394,L340,N340:N394),"")</f>
        <v/>
      </c>
      <c r="R340" s="102" t="str">
        <f aca="false">IF(P340&lt;&gt;"",SUMIF(L340:L394,L340,O340:O394),"")</f>
        <v/>
      </c>
    </row>
    <row r="341" customFormat="false" ht="25.5" hidden="false" customHeight="true" outlineLevel="0" collapsed="false">
      <c r="A341" s="149"/>
      <c r="B341" s="149"/>
      <c r="C341" s="149"/>
      <c r="D341" s="149"/>
      <c r="E341" s="149"/>
      <c r="F341" s="150"/>
      <c r="G341" s="149"/>
      <c r="H341" s="150"/>
      <c r="I341" s="149"/>
      <c r="J341" s="150"/>
      <c r="K341" s="217"/>
      <c r="L341" s="176" t="n">
        <f aca="false">IF(AND(A342&lt;&gt;"",A341=""),L340+1,L340)</f>
        <v>41</v>
      </c>
      <c r="M341" s="101" t="str">
        <f aca="false">IF(OR(A341="Insumo",A341="Composição Auxiliar"),J341,"")</f>
        <v/>
      </c>
      <c r="N341" s="102" t="str">
        <f aca="false">IF(E341="Mão de Obra",J341,"")</f>
        <v/>
      </c>
      <c r="O341" s="102" t="str">
        <f aca="false">IF(N341&lt;&gt;"","",M341)</f>
        <v/>
      </c>
      <c r="P341" s="103" t="str">
        <f aca="false">IF(A341="Composição",B341,"")</f>
        <v/>
      </c>
      <c r="Q341" s="102" t="str">
        <f aca="false">IF(P341&lt;&gt;"",SUMIF(L341:L394,L341,N341:N394),"")</f>
        <v/>
      </c>
      <c r="R341" s="102" t="str">
        <f aca="false">IF(P341&lt;&gt;"",SUMIF(L341:L394,L341,O341:O394),"")</f>
        <v/>
      </c>
    </row>
    <row r="342" customFormat="false" ht="25.5" hidden="false" customHeight="true" outlineLevel="0" collapsed="false">
      <c r="A342" s="149"/>
      <c r="B342" s="149"/>
      <c r="C342" s="149"/>
      <c r="D342" s="149"/>
      <c r="E342" s="149"/>
      <c r="F342" s="150"/>
      <c r="G342" s="149"/>
      <c r="H342" s="151"/>
      <c r="I342" s="151"/>
      <c r="J342" s="150"/>
      <c r="K342" s="217"/>
      <c r="L342" s="176" t="n">
        <f aca="false">IF(AND(A343&lt;&gt;"",A342=""),L341+1,L341)</f>
        <v>41</v>
      </c>
      <c r="M342" s="101" t="str">
        <f aca="false">IF(OR(A342="Insumo",A342="Composição Auxiliar"),J342,"")</f>
        <v/>
      </c>
      <c r="N342" s="102" t="str">
        <f aca="false">IF(E342="Mão de Obra",J342,"")</f>
        <v/>
      </c>
      <c r="O342" s="102" t="str">
        <f aca="false">IF(N342&lt;&gt;"","",M342)</f>
        <v/>
      </c>
      <c r="P342" s="103" t="str">
        <f aca="false">IF(A342="Composição",B342,"")</f>
        <v/>
      </c>
      <c r="Q342" s="102" t="str">
        <f aca="false">IF(P342&lt;&gt;"",SUMIF(L342:L394,L342,N342:N394),"")</f>
        <v/>
      </c>
      <c r="R342" s="102" t="str">
        <f aca="false">IF(P342&lt;&gt;"",SUMIF(L342:L394,L342,O342:O394),"")</f>
        <v/>
      </c>
    </row>
    <row r="343" customFormat="false" ht="25.5" hidden="false" customHeight="true" outlineLevel="0" collapsed="false">
      <c r="A343" s="155"/>
      <c r="B343" s="155"/>
      <c r="C343" s="155"/>
      <c r="D343" s="155"/>
      <c r="E343" s="155"/>
      <c r="F343" s="155"/>
      <c r="G343" s="155"/>
      <c r="H343" s="155"/>
      <c r="I343" s="155"/>
      <c r="J343" s="155"/>
      <c r="K343" s="217"/>
      <c r="L343" s="176" t="n">
        <f aca="false">IF(AND(A344&lt;&gt;"",A343=""),L342+1,L342)</f>
        <v>41</v>
      </c>
      <c r="M343" s="101" t="str">
        <f aca="false">IF(OR(A343="Insumo",A343="Composição Auxiliar"),J343,"")</f>
        <v/>
      </c>
      <c r="N343" s="102" t="str">
        <f aca="false">IF(E343="Mão de Obra",J343,"")</f>
        <v/>
      </c>
      <c r="O343" s="102" t="str">
        <f aca="false">IF(N343&lt;&gt;"","",M343)</f>
        <v/>
      </c>
      <c r="P343" s="103" t="str">
        <f aca="false">IF(A343="Composição",B343,"")</f>
        <v/>
      </c>
      <c r="Q343" s="102" t="str">
        <f aca="false">IF(P343&lt;&gt;"",SUMIF(L343:L394,L343,N343:N394),"")</f>
        <v/>
      </c>
      <c r="R343" s="102" t="str">
        <f aca="false">IF(P343&lt;&gt;"",SUMIF(L343:L394,L343,O343:O394),"")</f>
        <v/>
      </c>
    </row>
    <row r="344" customFormat="false" ht="14" hidden="false" customHeight="true" outlineLevel="0" collapsed="false">
      <c r="A344" s="118"/>
      <c r="B344" s="119" t="s">
        <v>115</v>
      </c>
      <c r="C344" s="118" t="s">
        <v>116</v>
      </c>
      <c r="D344" s="118" t="s">
        <v>117</v>
      </c>
      <c r="E344" s="118" t="s">
        <v>118</v>
      </c>
      <c r="F344" s="118"/>
      <c r="G344" s="120" t="s">
        <v>119</v>
      </c>
      <c r="H344" s="119" t="s">
        <v>120</v>
      </c>
      <c r="I344" s="119" t="s">
        <v>130</v>
      </c>
      <c r="J344" s="119" t="s">
        <v>131</v>
      </c>
      <c r="K344" s="217"/>
      <c r="L344" s="176" t="n">
        <f aca="false">IF(AND(A345&lt;&gt;"",A344=""),L343+1,L343)</f>
        <v>42</v>
      </c>
      <c r="M344" s="101" t="str">
        <f aca="false">IF(OR(A344="Insumo",A344="Composição Auxiliar"),J344,"")</f>
        <v/>
      </c>
      <c r="N344" s="102" t="str">
        <f aca="false">IF(E344="Mão de Obra",J344,"")</f>
        <v/>
      </c>
      <c r="O344" s="102" t="str">
        <f aca="false">IF(N344&lt;&gt;"","",M344)</f>
        <v/>
      </c>
      <c r="P344" s="103" t="str">
        <f aca="false">IF(A344="Composição",B344,"")</f>
        <v/>
      </c>
      <c r="Q344" s="102" t="str">
        <f aca="false">IF(P344&lt;&gt;"",SUMIF(L344:L394,L344,N344:N394),"")</f>
        <v/>
      </c>
      <c r="R344" s="102" t="str">
        <f aca="false">IF(P344&lt;&gt;"",SUMIF(L344:L394,L344,O344:O394),"")</f>
        <v/>
      </c>
    </row>
    <row r="345" customFormat="false" ht="25" hidden="false" customHeight="true" outlineLevel="0" collapsed="false">
      <c r="A345" s="122" t="s">
        <v>121</v>
      </c>
      <c r="B345" s="55" t="s">
        <v>281</v>
      </c>
      <c r="C345" s="122" t="s">
        <v>122</v>
      </c>
      <c r="D345" s="122" t="s">
        <v>282</v>
      </c>
      <c r="E345" s="122" t="s">
        <v>124</v>
      </c>
      <c r="F345" s="122"/>
      <c r="G345" s="123" t="s">
        <v>125</v>
      </c>
      <c r="H345" s="124" t="n">
        <v>1</v>
      </c>
      <c r="I345" s="125" t="n">
        <f aca="false">SUMIF(L:L,$L345,M:M)</f>
        <v>25.07</v>
      </c>
      <c r="J345" s="125" t="n">
        <f aca="false">TRUNC(H345*I345,2)</f>
        <v>25.07</v>
      </c>
      <c r="K345" s="217"/>
      <c r="L345" s="176" t="n">
        <f aca="false">IF(AND(A346&lt;&gt;"",A345=""),L344+1,L344)</f>
        <v>42</v>
      </c>
      <c r="M345" s="101" t="str">
        <f aca="false">IF(OR(A345="Insumo",A345="Composição Auxiliar"),J345,"")</f>
        <v/>
      </c>
      <c r="N345" s="102" t="str">
        <f aca="false">IF(E345="Mão de Obra",J345,"")</f>
        <v/>
      </c>
      <c r="O345" s="102" t="str">
        <f aca="false">IF(N345&lt;&gt;"","",M345)</f>
        <v/>
      </c>
      <c r="P345" s="103" t="str">
        <f aca="false">IF(A345="Composição",B345,"")</f>
        <v> 88377 </v>
      </c>
      <c r="Q345" s="102" t="n">
        <f aca="false">IF(P345&lt;&gt;"",SUMIF(L345:L394,L345,N345:N394),"")</f>
        <v>20.44</v>
      </c>
      <c r="R345" s="102" t="n">
        <f aca="false">IF(P345&lt;&gt;"",SUMIF(L345:L394,L345,O345:O394),"")</f>
        <v>4.63</v>
      </c>
    </row>
    <row r="346" customFormat="false" ht="14.15" hidden="false" customHeight="true" outlineLevel="0" collapsed="false">
      <c r="A346" s="129" t="s">
        <v>126</v>
      </c>
      <c r="B346" s="130" t="s">
        <v>301</v>
      </c>
      <c r="C346" s="129" t="s">
        <v>122</v>
      </c>
      <c r="D346" s="129" t="s">
        <v>302</v>
      </c>
      <c r="E346" s="129" t="s">
        <v>124</v>
      </c>
      <c r="F346" s="129"/>
      <c r="G346" s="131" t="s">
        <v>125</v>
      </c>
      <c r="H346" s="132" t="n">
        <v>1</v>
      </c>
      <c r="I346" s="133" t="n">
        <f aca="false">SUMIFS(J:J,A:A,"Composição",B:B,$B346)</f>
        <v>0.13</v>
      </c>
      <c r="J346" s="133" t="n">
        <f aca="false">TRUNC(H346*I346,2)</f>
        <v>0.13</v>
      </c>
      <c r="K346" s="217"/>
      <c r="L346" s="176" t="n">
        <f aca="false">IF(AND(A347&lt;&gt;"",A346=""),L345+1,L345)</f>
        <v>42</v>
      </c>
      <c r="M346" s="101" t="n">
        <f aca="false">IF(OR(A346="Insumo",A346="Composição Auxiliar"),J346,"")</f>
        <v>0.13</v>
      </c>
      <c r="N346" s="102" t="str">
        <f aca="false">IF(E346="Mão de Obra",J346,"")</f>
        <v/>
      </c>
      <c r="O346" s="102" t="n">
        <f aca="false">IF(N346&lt;&gt;"","",M346)</f>
        <v>0.13</v>
      </c>
      <c r="P346" s="103" t="str">
        <f aca="false">IF(A346="Composição",B346,"")</f>
        <v/>
      </c>
      <c r="Q346" s="102" t="str">
        <f aca="false">IF(P346&lt;&gt;"",SUMIF(L346:L394,L346,N346:N394),"")</f>
        <v/>
      </c>
      <c r="R346" s="102" t="str">
        <f aca="false">IF(P346&lt;&gt;"",SUMIF(L346:L394,L346,O346:O394),"")</f>
        <v/>
      </c>
    </row>
    <row r="347" customFormat="false" ht="14" hidden="false" customHeight="false" outlineLevel="0" collapsed="false">
      <c r="A347" s="143" t="s">
        <v>128</v>
      </c>
      <c r="B347" s="144" t="s">
        <v>129</v>
      </c>
      <c r="C347" s="143" t="str">
        <f aca="false">VLOOKUP(B347,INSUMOS!$A:$I,2,0)</f>
        <v>SINAPI</v>
      </c>
      <c r="D347" s="143" t="str">
        <f aca="false">VLOOKUP(B347,INSUMOS!$A:$I,3,0)</f>
        <v>ALIMENTACAO - HORISTA (COLETADO CAIXA)</v>
      </c>
      <c r="E347" s="143" t="str">
        <f aca="false">VLOOKUP(B347,INSUMOS!$A:$I,4,0)</f>
        <v>Outros</v>
      </c>
      <c r="F347" s="143"/>
      <c r="G347" s="145" t="str">
        <f aca="false">VLOOKUP(B347,INSUMOS!$A:$I,5,0)</f>
        <v>H</v>
      </c>
      <c r="H347" s="146" t="n">
        <v>1</v>
      </c>
      <c r="I347" s="147" t="n">
        <f aca="false">VLOOKUP(B347,INSUMOS!$A:$I,8,0)</f>
        <v>2.11</v>
      </c>
      <c r="J347" s="147" t="n">
        <f aca="false">TRUNC(H347*I347,2)</f>
        <v>2.11</v>
      </c>
      <c r="K347" s="217"/>
      <c r="L347" s="176" t="n">
        <f aca="false">IF(AND(A348&lt;&gt;"",A347=""),L346+1,L346)</f>
        <v>42</v>
      </c>
      <c r="M347" s="101" t="n">
        <f aca="false">IF(OR(A347="Insumo",A347="Composição Auxiliar"),J347,"")</f>
        <v>2.11</v>
      </c>
      <c r="N347" s="102" t="str">
        <f aca="false">IF(E347="Mão de Obra",J347,"")</f>
        <v/>
      </c>
      <c r="O347" s="102" t="n">
        <f aca="false">IF(N347&lt;&gt;"","",M347)</f>
        <v>2.11</v>
      </c>
      <c r="P347" s="103" t="str">
        <f aca="false">IF(A347="Composição",B347,"")</f>
        <v/>
      </c>
      <c r="Q347" s="102" t="str">
        <f aca="false">IF(P347&lt;&gt;"",SUMIF(L347:L394,L347,N347:N394),"")</f>
        <v/>
      </c>
      <c r="R347" s="102" t="str">
        <f aca="false">IF(P347&lt;&gt;"",SUMIF(L347:L394,L347,O347:O394),"")</f>
        <v/>
      </c>
    </row>
    <row r="348" customFormat="false" ht="25" hidden="false" customHeight="true" outlineLevel="0" collapsed="false">
      <c r="A348" s="143" t="s">
        <v>128</v>
      </c>
      <c r="B348" s="144" t="s">
        <v>337</v>
      </c>
      <c r="C348" s="143" t="str">
        <f aca="false">VLOOKUP(B348,INSUMOS!$A:$I,2,0)</f>
        <v>SINAPI</v>
      </c>
      <c r="D348" s="143" t="str">
        <f aca="false">VLOOKUP(B348,INSUMOS!$A:$I,3,0)</f>
        <v>EPI - FAMILIA OPERADOR ESCAVADEIRA - HORISTA (ENCARGOS COMPLEMENTARES - COLETADO CAIXA)</v>
      </c>
      <c r="E348" s="143" t="str">
        <f aca="false">VLOOKUP(B348,INSUMOS!$A:$I,4,0)</f>
        <v>Equipamento</v>
      </c>
      <c r="F348" s="143"/>
      <c r="G348" s="145" t="str">
        <f aca="false">VLOOKUP(B348,INSUMOS!$A:$I,5,0)</f>
        <v>H</v>
      </c>
      <c r="H348" s="146" t="n">
        <v>1</v>
      </c>
      <c r="I348" s="147" t="n">
        <f aca="false">VLOOKUP(B348,INSUMOS!$A:$I,8,0)</f>
        <v>0.76</v>
      </c>
      <c r="J348" s="147" t="n">
        <f aca="false">TRUNC(H348*I348,2)</f>
        <v>0.76</v>
      </c>
      <c r="K348" s="217"/>
      <c r="L348" s="176" t="n">
        <f aca="false">IF(AND(A349&lt;&gt;"",A348=""),L347+1,L347)</f>
        <v>42</v>
      </c>
      <c r="M348" s="101" t="n">
        <f aca="false">IF(OR(A348="Insumo",A348="Composição Auxiliar"),J348,"")</f>
        <v>0.76</v>
      </c>
      <c r="N348" s="102" t="str">
        <f aca="false">IF(E348="Mão de Obra",J348,"")</f>
        <v/>
      </c>
      <c r="O348" s="102" t="n">
        <f aca="false">IF(N348&lt;&gt;"","",M348)</f>
        <v>0.76</v>
      </c>
      <c r="P348" s="103" t="str">
        <f aca="false">IF(A348="Composição",B348,"")</f>
        <v/>
      </c>
      <c r="Q348" s="102" t="str">
        <f aca="false">IF(P348&lt;&gt;"",SUMIF(L348:L394,L348,N348:N394),"")</f>
        <v/>
      </c>
      <c r="R348" s="102" t="str">
        <f aca="false">IF(P348&lt;&gt;"",SUMIF(L348:L394,L348,O348:O394),"")</f>
        <v/>
      </c>
    </row>
    <row r="349" customFormat="false" ht="25.5" hidden="false" customHeight="true" outlineLevel="0" collapsed="false">
      <c r="A349" s="143" t="s">
        <v>128</v>
      </c>
      <c r="B349" s="144" t="s">
        <v>245</v>
      </c>
      <c r="C349" s="143" t="str">
        <f aca="false">VLOOKUP(B349,INSUMOS!$A:$I,2,0)</f>
        <v>SINAPI</v>
      </c>
      <c r="D349" s="143" t="str">
        <f aca="false">VLOOKUP(B349,INSUMOS!$A:$I,3,0)</f>
        <v>EXAMES - HORISTA (COLETADO CAIXA)</v>
      </c>
      <c r="E349" s="143" t="str">
        <f aca="false">VLOOKUP(B349,INSUMOS!$A:$I,4,0)</f>
        <v>Outros</v>
      </c>
      <c r="F349" s="143"/>
      <c r="G349" s="145" t="str">
        <f aca="false">VLOOKUP(B349,INSUMOS!$A:$I,5,0)</f>
        <v>H</v>
      </c>
      <c r="H349" s="146" t="n">
        <v>1</v>
      </c>
      <c r="I349" s="147" t="n">
        <f aca="false">VLOOKUP(B349,INSUMOS!$A:$I,8,0)</f>
        <v>0.81</v>
      </c>
      <c r="J349" s="147" t="n">
        <f aca="false">TRUNC(H349*I349,2)</f>
        <v>0.81</v>
      </c>
      <c r="K349" s="217"/>
      <c r="L349" s="176" t="n">
        <f aca="false">IF(AND(A350&lt;&gt;"",A349=""),L348+1,L348)</f>
        <v>42</v>
      </c>
      <c r="M349" s="101" t="n">
        <f aca="false">IF(OR(A349="Insumo",A349="Composição Auxiliar"),J349,"")</f>
        <v>0.81</v>
      </c>
      <c r="N349" s="102" t="str">
        <f aca="false">IF(E349="Mão de Obra",J349,"")</f>
        <v/>
      </c>
      <c r="O349" s="102" t="n">
        <f aca="false">IF(N349&lt;&gt;"","",M349)</f>
        <v>0.81</v>
      </c>
      <c r="P349" s="103" t="str">
        <f aca="false">IF(A349="Composição",B349,"")</f>
        <v/>
      </c>
      <c r="Q349" s="102" t="str">
        <f aca="false">IF(P349&lt;&gt;"",SUMIF(L349:L394,L349,N349:N394),"")</f>
        <v/>
      </c>
      <c r="R349" s="102" t="str">
        <f aca="false">IF(P349&lt;&gt;"",SUMIF(L349:L394,L349,O349:O394),"")</f>
        <v/>
      </c>
    </row>
    <row r="350" customFormat="false" ht="25" hidden="false" customHeight="false" outlineLevel="0" collapsed="false">
      <c r="A350" s="143" t="s">
        <v>128</v>
      </c>
      <c r="B350" s="144" t="s">
        <v>338</v>
      </c>
      <c r="C350" s="143" t="str">
        <f aca="false">VLOOKUP(B350,INSUMOS!$A:$I,2,0)</f>
        <v>SINAPI</v>
      </c>
      <c r="D350" s="143" t="str">
        <f aca="false">VLOOKUP(B350,INSUMOS!$A:$I,3,0)</f>
        <v>FERRAMENTAS - FAMILIA OPERADOR ESCAVADEIRA - HORISTA (ENCARGOS COMPLEMENTARES - COLETADO CAIXA)</v>
      </c>
      <c r="E350" s="143" t="str">
        <f aca="false">VLOOKUP(B350,INSUMOS!$A:$I,4,0)</f>
        <v>Equipamento</v>
      </c>
      <c r="F350" s="143"/>
      <c r="G350" s="145" t="str">
        <f aca="false">VLOOKUP(B350,INSUMOS!$A:$I,5,0)</f>
        <v>H</v>
      </c>
      <c r="H350" s="146" t="n">
        <v>1</v>
      </c>
      <c r="I350" s="147" t="n">
        <f aca="false">VLOOKUP(B350,INSUMOS!$A:$I,8,0)</f>
        <v>0.01</v>
      </c>
      <c r="J350" s="147" t="n">
        <f aca="false">TRUNC(H350*I350,2)</f>
        <v>0.01</v>
      </c>
      <c r="K350" s="217"/>
      <c r="L350" s="176" t="n">
        <f aca="false">IF(AND(A351&lt;&gt;"",A350=""),L349+1,L349)</f>
        <v>42</v>
      </c>
      <c r="M350" s="101" t="n">
        <f aca="false">IF(OR(A350="Insumo",A350="Composição Auxiliar"),J350,"")</f>
        <v>0.01</v>
      </c>
      <c r="N350" s="102" t="str">
        <f aca="false">IF(E350="Mão de Obra",J350,"")</f>
        <v/>
      </c>
      <c r="O350" s="102" t="n">
        <f aca="false">IF(N350&lt;&gt;"","",M350)</f>
        <v>0.01</v>
      </c>
      <c r="P350" s="103" t="str">
        <f aca="false">IF(A350="Composição",B350,"")</f>
        <v/>
      </c>
      <c r="Q350" s="102" t="str">
        <f aca="false">IF(P350&lt;&gt;"",SUMIF(L350:L394,L350,N350:N394),"")</f>
        <v/>
      </c>
      <c r="R350" s="102" t="str">
        <f aca="false">IF(P350&lt;&gt;"",SUMIF(L350:L394,L350,O350:O394),"")</f>
        <v/>
      </c>
    </row>
    <row r="351" customFormat="false" ht="25" hidden="false" customHeight="true" outlineLevel="0" collapsed="false">
      <c r="A351" s="143" t="s">
        <v>128</v>
      </c>
      <c r="B351" s="144" t="s">
        <v>303</v>
      </c>
      <c r="C351" s="143" t="str">
        <f aca="false">VLOOKUP(B351,INSUMOS!$A:$I,2,0)</f>
        <v>SINAPI</v>
      </c>
      <c r="D351" s="143" t="str">
        <f aca="false">VLOOKUP(B351,INSUMOS!$A:$I,3,0)</f>
        <v>OPERADOR DE BETONEIRA ESTACIONARIA / MISTURADOR</v>
      </c>
      <c r="E351" s="143" t="str">
        <f aca="false">VLOOKUP(B351,INSUMOS!$A:$I,4,0)</f>
        <v>Mão de Obra</v>
      </c>
      <c r="F351" s="143"/>
      <c r="G351" s="145" t="str">
        <f aca="false">VLOOKUP(B351,INSUMOS!$A:$I,5,0)</f>
        <v>H</v>
      </c>
      <c r="H351" s="146" t="n">
        <v>1</v>
      </c>
      <c r="I351" s="147" t="n">
        <f aca="false">VLOOKUP(B351,INSUMOS!$A:$I,8,0)</f>
        <v>20.44</v>
      </c>
      <c r="J351" s="147" t="n">
        <f aca="false">TRUNC(H351*I351,2)</f>
        <v>20.44</v>
      </c>
      <c r="K351" s="217"/>
      <c r="L351" s="176" t="n">
        <f aca="false">IF(AND(A352&lt;&gt;"",A351=""),L350+1,L350)</f>
        <v>42</v>
      </c>
      <c r="M351" s="101" t="n">
        <f aca="false">IF(OR(A351="Insumo",A351="Composição Auxiliar"),J351,"")</f>
        <v>20.44</v>
      </c>
      <c r="N351" s="102" t="n">
        <f aca="false">IF(E351="Mão de Obra",J351,"")</f>
        <v>20.44</v>
      </c>
      <c r="O351" s="102" t="str">
        <f aca="false">IF(N351&lt;&gt;"","",M351)</f>
        <v/>
      </c>
      <c r="P351" s="103" t="str">
        <f aca="false">IF(A351="Composição",B351,"")</f>
        <v/>
      </c>
      <c r="Q351" s="102" t="str">
        <f aca="false">IF(P351&lt;&gt;"",SUMIF(L351:L394,L351,N351:N394),"")</f>
        <v/>
      </c>
      <c r="R351" s="102" t="str">
        <f aca="false">IF(P351&lt;&gt;"",SUMIF(L351:L394,L351,O351:O394),"")</f>
        <v/>
      </c>
    </row>
    <row r="352" customFormat="false" ht="14" hidden="false" customHeight="false" outlineLevel="0" collapsed="false">
      <c r="A352" s="143" t="s">
        <v>128</v>
      </c>
      <c r="B352" s="144" t="s">
        <v>247</v>
      </c>
      <c r="C352" s="143" t="str">
        <f aca="false">VLOOKUP(B352,INSUMOS!$A:$I,2,0)</f>
        <v>SINAPI</v>
      </c>
      <c r="D352" s="143" t="str">
        <f aca="false">VLOOKUP(B352,INSUMOS!$A:$I,3,0)</f>
        <v>SEGURO - HORISTA (COLETADO CAIXA)</v>
      </c>
      <c r="E352" s="143" t="str">
        <f aca="false">VLOOKUP(B352,INSUMOS!$A:$I,4,0)</f>
        <v>Taxas</v>
      </c>
      <c r="F352" s="143"/>
      <c r="G352" s="145" t="str">
        <f aca="false">VLOOKUP(B352,INSUMOS!$A:$I,5,0)</f>
        <v>H</v>
      </c>
      <c r="H352" s="146" t="n">
        <v>1</v>
      </c>
      <c r="I352" s="147" t="n">
        <f aca="false">VLOOKUP(B352,INSUMOS!$A:$I,8,0)</f>
        <v>0.06</v>
      </c>
      <c r="J352" s="147" t="n">
        <f aca="false">TRUNC(H352*I352,2)</f>
        <v>0.06</v>
      </c>
      <c r="K352" s="217"/>
      <c r="L352" s="176" t="n">
        <f aca="false">IF(AND(A353&lt;&gt;"",A352=""),L351+1,L351)</f>
        <v>42</v>
      </c>
      <c r="M352" s="101" t="n">
        <f aca="false">IF(OR(A352="Insumo",A352="Composição Auxiliar"),J352,"")</f>
        <v>0.06</v>
      </c>
      <c r="N352" s="102" t="str">
        <f aca="false">IF(E352="Mão de Obra",J352,"")</f>
        <v/>
      </c>
      <c r="O352" s="102" t="n">
        <f aca="false">IF(N352&lt;&gt;"","",M352)</f>
        <v>0.06</v>
      </c>
      <c r="P352" s="103" t="str">
        <f aca="false">IF(A352="Composição",B352,"")</f>
        <v/>
      </c>
      <c r="Q352" s="102" t="str">
        <f aca="false">IF(P352&lt;&gt;"",SUMIF(L352:L394,L352,N352:N394),"")</f>
        <v/>
      </c>
      <c r="R352" s="102" t="str">
        <f aca="false">IF(P352&lt;&gt;"",SUMIF(L352:L394,L352,O352:O394),"")</f>
        <v/>
      </c>
    </row>
    <row r="353" customFormat="false" ht="25" hidden="false" customHeight="true" outlineLevel="0" collapsed="false">
      <c r="A353" s="143" t="s">
        <v>128</v>
      </c>
      <c r="B353" s="144" t="s">
        <v>255</v>
      </c>
      <c r="C353" s="143" t="str">
        <f aca="false">VLOOKUP(B353,INSUMOS!$A:$I,2,0)</f>
        <v>SINAPI</v>
      </c>
      <c r="D353" s="143" t="str">
        <f aca="false">VLOOKUP(B353,INSUMOS!$A:$I,3,0)</f>
        <v>TRANSPORTE - HORISTA (COLETADO CAIXA)</v>
      </c>
      <c r="E353" s="143" t="str">
        <f aca="false">VLOOKUP(B353,INSUMOS!$A:$I,4,0)</f>
        <v>Serviços</v>
      </c>
      <c r="F353" s="143"/>
      <c r="G353" s="145" t="str">
        <f aca="false">VLOOKUP(B353,INSUMOS!$A:$I,5,0)</f>
        <v>H</v>
      </c>
      <c r="H353" s="146" t="n">
        <v>1</v>
      </c>
      <c r="I353" s="147" t="n">
        <f aca="false">VLOOKUP(B353,INSUMOS!$A:$I,8,0)</f>
        <v>0.75</v>
      </c>
      <c r="J353" s="147" t="n">
        <f aca="false">TRUNC(H353*I353,2)</f>
        <v>0.75</v>
      </c>
      <c r="K353" s="217"/>
      <c r="L353" s="176" t="n">
        <f aca="false">IF(AND(A354&lt;&gt;"",A353=""),L352+1,L352)</f>
        <v>42</v>
      </c>
      <c r="M353" s="101" t="n">
        <f aca="false">IF(OR(A353="Insumo",A353="Composição Auxiliar"),J353,"")</f>
        <v>0.75</v>
      </c>
      <c r="N353" s="102" t="str">
        <f aca="false">IF(E353="Mão de Obra",J353,"")</f>
        <v/>
      </c>
      <c r="O353" s="102" t="n">
        <f aca="false">IF(N353&lt;&gt;"","",M353)</f>
        <v>0.75</v>
      </c>
      <c r="P353" s="103" t="str">
        <f aca="false">IF(A353="Composição",B353,"")</f>
        <v/>
      </c>
      <c r="Q353" s="102" t="str">
        <f aca="false">IF(P353&lt;&gt;"",SUMIF(L353:L394,L353,N353:N394),"")</f>
        <v/>
      </c>
      <c r="R353" s="102" t="str">
        <f aca="false">IF(P353&lt;&gt;"",SUMIF(L353:L394,L353,O353:O394),"")</f>
        <v/>
      </c>
    </row>
    <row r="354" customFormat="false" ht="25" hidden="false" customHeight="true" outlineLevel="0" collapsed="false">
      <c r="A354" s="149"/>
      <c r="B354" s="149"/>
      <c r="C354" s="149"/>
      <c r="D354" s="149"/>
      <c r="E354" s="149"/>
      <c r="F354" s="150"/>
      <c r="G354" s="149"/>
      <c r="H354" s="150"/>
      <c r="I354" s="149"/>
      <c r="J354" s="150"/>
      <c r="K354" s="217"/>
      <c r="L354" s="176" t="n">
        <f aca="false">IF(AND(A355&lt;&gt;"",A354=""),L353+1,L353)</f>
        <v>42</v>
      </c>
      <c r="M354" s="101" t="str">
        <f aca="false">IF(OR(A354="Insumo",A354="Composição Auxiliar"),J354,"")</f>
        <v/>
      </c>
      <c r="N354" s="102" t="str">
        <f aca="false">IF(E354="Mão de Obra",J354,"")</f>
        <v/>
      </c>
      <c r="O354" s="102" t="str">
        <f aca="false">IF(N354&lt;&gt;"","",M354)</f>
        <v/>
      </c>
      <c r="P354" s="103" t="str">
        <f aca="false">IF(A354="Composição",B354,"")</f>
        <v/>
      </c>
      <c r="Q354" s="102" t="str">
        <f aca="false">IF(P354&lt;&gt;"",SUMIF(L354:L394,L354,N354:N394),"")</f>
        <v/>
      </c>
      <c r="R354" s="102" t="str">
        <f aca="false">IF(P354&lt;&gt;"",SUMIF(L354:L394,L354,O354:O394),"")</f>
        <v/>
      </c>
    </row>
    <row r="355" customFormat="false" ht="25.5" hidden="false" customHeight="true" outlineLevel="0" collapsed="false">
      <c r="A355" s="149"/>
      <c r="B355" s="149"/>
      <c r="C355" s="149"/>
      <c r="D355" s="149"/>
      <c r="E355" s="149"/>
      <c r="F355" s="150"/>
      <c r="G355" s="149"/>
      <c r="H355" s="151"/>
      <c r="I355" s="151"/>
      <c r="J355" s="150"/>
      <c r="K355" s="217"/>
      <c r="L355" s="176" t="n">
        <f aca="false">IF(AND(A356&lt;&gt;"",A355=""),L354+1,L354)</f>
        <v>42</v>
      </c>
      <c r="M355" s="101" t="str">
        <f aca="false">IF(OR(A355="Insumo",A355="Composição Auxiliar"),J355,"")</f>
        <v/>
      </c>
      <c r="N355" s="102" t="str">
        <f aca="false">IF(E355="Mão de Obra",J355,"")</f>
        <v/>
      </c>
      <c r="O355" s="102" t="str">
        <f aca="false">IF(N355&lt;&gt;"","",M355)</f>
        <v/>
      </c>
      <c r="P355" s="103" t="str">
        <f aca="false">IF(A355="Composição",B355,"")</f>
        <v/>
      </c>
      <c r="Q355" s="102" t="str">
        <f aca="false">IF(P355&lt;&gt;"",SUMIF(L355:L394,L355,N355:N394),"")</f>
        <v/>
      </c>
      <c r="R355" s="102" t="str">
        <f aca="false">IF(P355&lt;&gt;"",SUMIF(L355:L394,L355,O355:O394),"")</f>
        <v/>
      </c>
    </row>
    <row r="356" customFormat="false" ht="14.5" hidden="false" customHeight="false" outlineLevel="0" collapsed="false">
      <c r="A356" s="155"/>
      <c r="B356" s="155"/>
      <c r="C356" s="155"/>
      <c r="D356" s="155"/>
      <c r="E356" s="155"/>
      <c r="F356" s="155"/>
      <c r="G356" s="155"/>
      <c r="H356" s="155"/>
      <c r="I356" s="155"/>
      <c r="J356" s="155"/>
      <c r="K356" s="217"/>
      <c r="L356" s="176" t="n">
        <f aca="false">IF(AND(A357&lt;&gt;"",A356=""),L355+1,L355)</f>
        <v>42</v>
      </c>
      <c r="M356" s="101" t="str">
        <f aca="false">IF(OR(A356="Insumo",A356="Composição Auxiliar"),J356,"")</f>
        <v/>
      </c>
      <c r="N356" s="102" t="str">
        <f aca="false">IF(E356="Mão de Obra",J356,"")</f>
        <v/>
      </c>
      <c r="O356" s="102" t="str">
        <f aca="false">IF(N356&lt;&gt;"","",M356)</f>
        <v/>
      </c>
      <c r="P356" s="103" t="str">
        <f aca="false">IF(A356="Composição",B356,"")</f>
        <v/>
      </c>
      <c r="Q356" s="102" t="str">
        <f aca="false">IF(P356&lt;&gt;"",SUMIF(L356:L394,L356,N356:N394),"")</f>
        <v/>
      </c>
      <c r="R356" s="102" t="str">
        <f aca="false">IF(P356&lt;&gt;"",SUMIF(L356:L394,L356,O356:O394),"")</f>
        <v/>
      </c>
    </row>
    <row r="357" customFormat="false" ht="14" hidden="false" customHeight="true" outlineLevel="0" collapsed="false">
      <c r="A357" s="118"/>
      <c r="B357" s="119" t="s">
        <v>115</v>
      </c>
      <c r="C357" s="118" t="s">
        <v>116</v>
      </c>
      <c r="D357" s="118" t="s">
        <v>117</v>
      </c>
      <c r="E357" s="118" t="s">
        <v>118</v>
      </c>
      <c r="F357" s="118"/>
      <c r="G357" s="120" t="s">
        <v>119</v>
      </c>
      <c r="H357" s="119" t="s">
        <v>120</v>
      </c>
      <c r="I357" s="119" t="s">
        <v>130</v>
      </c>
      <c r="J357" s="119" t="s">
        <v>131</v>
      </c>
      <c r="K357" s="217"/>
      <c r="L357" s="176" t="n">
        <f aca="false">IF(AND(A358&lt;&gt;"",A357=""),L356+1,L356)</f>
        <v>43</v>
      </c>
      <c r="M357" s="101" t="str">
        <f aca="false">IF(OR(A357="Insumo",A357="Composição Auxiliar"),J357,"")</f>
        <v/>
      </c>
      <c r="N357" s="102" t="str">
        <f aca="false">IF(E357="Mão de Obra",J357,"")</f>
        <v/>
      </c>
      <c r="O357" s="102" t="str">
        <f aca="false">IF(N357&lt;&gt;"","",M357)</f>
        <v/>
      </c>
      <c r="P357" s="103" t="str">
        <f aca="false">IF(A357="Composição",B357,"")</f>
        <v/>
      </c>
      <c r="Q357" s="102" t="str">
        <f aca="false">IF(P357&lt;&gt;"",SUMIF(L357:L394,L357,N357:N394),"")</f>
        <v/>
      </c>
      <c r="R357" s="102" t="str">
        <f aca="false">IF(P357&lt;&gt;"",SUMIF(L357:L394,L357,O357:O394),"")</f>
        <v/>
      </c>
    </row>
    <row r="358" customFormat="false" ht="25" hidden="false" customHeight="true" outlineLevel="0" collapsed="false">
      <c r="A358" s="122" t="s">
        <v>121</v>
      </c>
      <c r="B358" s="55" t="s">
        <v>332</v>
      </c>
      <c r="C358" s="122" t="s">
        <v>122</v>
      </c>
      <c r="D358" s="122" t="s">
        <v>333</v>
      </c>
      <c r="E358" s="122" t="s">
        <v>124</v>
      </c>
      <c r="F358" s="122"/>
      <c r="G358" s="123" t="s">
        <v>125</v>
      </c>
      <c r="H358" s="124" t="n">
        <v>1</v>
      </c>
      <c r="I358" s="125" t="n">
        <f aca="false">SUMIF(L:L,$L358,M:M)</f>
        <v>20.13</v>
      </c>
      <c r="J358" s="125" t="n">
        <f aca="false">TRUNC(H358*I358,2)</f>
        <v>20.13</v>
      </c>
      <c r="K358" s="217"/>
      <c r="L358" s="176" t="n">
        <f aca="false">IF(AND(A359&lt;&gt;"",A358=""),L357+1,L357)</f>
        <v>43</v>
      </c>
      <c r="M358" s="101" t="str">
        <f aca="false">IF(OR(A358="Insumo",A358="Composição Auxiliar"),J358,"")</f>
        <v/>
      </c>
      <c r="N358" s="102" t="str">
        <f aca="false">IF(E358="Mão de Obra",J358,"")</f>
        <v/>
      </c>
      <c r="O358" s="102" t="str">
        <f aca="false">IF(N358&lt;&gt;"","",M358)</f>
        <v/>
      </c>
      <c r="P358" s="103" t="str">
        <f aca="false">IF(A358="Composição",B358,"")</f>
        <v> 88298 </v>
      </c>
      <c r="Q358" s="102" t="n">
        <f aca="false">IF(P358&lt;&gt;"",SUMIF(L358:L394,L358,N358:N394),"")</f>
        <v>15.53</v>
      </c>
      <c r="R358" s="102" t="n">
        <f aca="false">IF(P358&lt;&gt;"",SUMIF(L358:L394,L358,O358:O394),"")</f>
        <v>4.6</v>
      </c>
    </row>
    <row r="359" customFormat="false" ht="25" hidden="false" customHeight="true" outlineLevel="0" collapsed="false">
      <c r="A359" s="129" t="s">
        <v>126</v>
      </c>
      <c r="B359" s="130" t="s">
        <v>304</v>
      </c>
      <c r="C359" s="129" t="s">
        <v>122</v>
      </c>
      <c r="D359" s="129" t="s">
        <v>305</v>
      </c>
      <c r="E359" s="129" t="s">
        <v>124</v>
      </c>
      <c r="F359" s="129"/>
      <c r="G359" s="131" t="s">
        <v>125</v>
      </c>
      <c r="H359" s="132" t="n">
        <v>1</v>
      </c>
      <c r="I359" s="133" t="n">
        <f aca="false">SUMIFS(J:J,A:A,"Composição",B:B,$B359)</f>
        <v>0.1</v>
      </c>
      <c r="J359" s="133" t="n">
        <f aca="false">TRUNC(H359*I359,2)</f>
        <v>0.1</v>
      </c>
      <c r="K359" s="217"/>
      <c r="L359" s="176" t="n">
        <f aca="false">IF(AND(A360&lt;&gt;"",A359=""),L358+1,L358)</f>
        <v>43</v>
      </c>
      <c r="M359" s="101" t="n">
        <f aca="false">IF(OR(A359="Insumo",A359="Composição Auxiliar"),J359,"")</f>
        <v>0.1</v>
      </c>
      <c r="N359" s="102" t="str">
        <f aca="false">IF(E359="Mão de Obra",J359,"")</f>
        <v/>
      </c>
      <c r="O359" s="102" t="n">
        <f aca="false">IF(N359&lt;&gt;"","",M359)</f>
        <v>0.1</v>
      </c>
      <c r="P359" s="103" t="str">
        <f aca="false">IF(A359="Composição",B359,"")</f>
        <v/>
      </c>
      <c r="Q359" s="102" t="str">
        <f aca="false">IF(P359&lt;&gt;"",SUMIF(L359:L394,L359,N359:N394),"")</f>
        <v/>
      </c>
      <c r="R359" s="102" t="str">
        <f aca="false">IF(P359&lt;&gt;"",SUMIF(L359:L394,L359,O359:O394),"")</f>
        <v/>
      </c>
    </row>
    <row r="360" customFormat="false" ht="14" hidden="false" customHeight="false" outlineLevel="0" collapsed="false">
      <c r="A360" s="143" t="s">
        <v>128</v>
      </c>
      <c r="B360" s="144" t="s">
        <v>129</v>
      </c>
      <c r="C360" s="143" t="str">
        <f aca="false">VLOOKUP(B360,INSUMOS!$A:$I,2,0)</f>
        <v>SINAPI</v>
      </c>
      <c r="D360" s="143" t="str">
        <f aca="false">VLOOKUP(B360,INSUMOS!$A:$I,3,0)</f>
        <v>ALIMENTACAO - HORISTA (COLETADO CAIXA)</v>
      </c>
      <c r="E360" s="143" t="str">
        <f aca="false">VLOOKUP(B360,INSUMOS!$A:$I,4,0)</f>
        <v>Outros</v>
      </c>
      <c r="F360" s="143"/>
      <c r="G360" s="145" t="str">
        <f aca="false">VLOOKUP(B360,INSUMOS!$A:$I,5,0)</f>
        <v>H</v>
      </c>
      <c r="H360" s="146" t="n">
        <v>1</v>
      </c>
      <c r="I360" s="147" t="n">
        <f aca="false">VLOOKUP(B360,INSUMOS!$A:$I,8,0)</f>
        <v>2.11</v>
      </c>
      <c r="J360" s="147" t="n">
        <f aca="false">TRUNC(H360*I360,2)</f>
        <v>2.11</v>
      </c>
      <c r="K360" s="217"/>
      <c r="L360" s="176" t="n">
        <f aca="false">IF(AND(A361&lt;&gt;"",A360=""),L359+1,L359)</f>
        <v>43</v>
      </c>
      <c r="M360" s="101" t="n">
        <f aca="false">IF(OR(A360="Insumo",A360="Composição Auxiliar"),J360,"")</f>
        <v>2.11</v>
      </c>
      <c r="N360" s="102" t="str">
        <f aca="false">IF(E360="Mão de Obra",J360,"")</f>
        <v/>
      </c>
      <c r="O360" s="102" t="n">
        <f aca="false">IF(N360&lt;&gt;"","",M360)</f>
        <v>2.11</v>
      </c>
      <c r="P360" s="103" t="str">
        <f aca="false">IF(A360="Composição",B360,"")</f>
        <v/>
      </c>
      <c r="Q360" s="102" t="str">
        <f aca="false">IF(P360&lt;&gt;"",SUMIF(L360:L394,L360,N360:N394),"")</f>
        <v/>
      </c>
      <c r="R360" s="102" t="str">
        <f aca="false">IF(P360&lt;&gt;"",SUMIF(L360:L394,L360,O360:O394),"")</f>
        <v/>
      </c>
    </row>
    <row r="361" customFormat="false" ht="37.5" hidden="false" customHeight="true" outlineLevel="0" collapsed="false">
      <c r="A361" s="143" t="s">
        <v>128</v>
      </c>
      <c r="B361" s="144" t="s">
        <v>337</v>
      </c>
      <c r="C361" s="143" t="str">
        <f aca="false">VLOOKUP(B361,INSUMOS!$A:$I,2,0)</f>
        <v>SINAPI</v>
      </c>
      <c r="D361" s="143" t="str">
        <f aca="false">VLOOKUP(B361,INSUMOS!$A:$I,3,0)</f>
        <v>EPI - FAMILIA OPERADOR ESCAVADEIRA - HORISTA (ENCARGOS COMPLEMENTARES - COLETADO CAIXA)</v>
      </c>
      <c r="E361" s="143" t="str">
        <f aca="false">VLOOKUP(B361,INSUMOS!$A:$I,4,0)</f>
        <v>Equipamento</v>
      </c>
      <c r="F361" s="143"/>
      <c r="G361" s="145" t="str">
        <f aca="false">VLOOKUP(B361,INSUMOS!$A:$I,5,0)</f>
        <v>H</v>
      </c>
      <c r="H361" s="146" t="n">
        <v>1</v>
      </c>
      <c r="I361" s="147" t="n">
        <f aca="false">VLOOKUP(B361,INSUMOS!$A:$I,8,0)</f>
        <v>0.76</v>
      </c>
      <c r="J361" s="147" t="n">
        <f aca="false">TRUNC(H361*I361,2)</f>
        <v>0.76</v>
      </c>
      <c r="K361" s="217"/>
      <c r="L361" s="176" t="n">
        <f aca="false">IF(AND(A362&lt;&gt;"",A361=""),L360+1,L360)</f>
        <v>43</v>
      </c>
      <c r="M361" s="101" t="n">
        <f aca="false">IF(OR(A361="Insumo",A361="Composição Auxiliar"),J361,"")</f>
        <v>0.76</v>
      </c>
      <c r="N361" s="102" t="str">
        <f aca="false">IF(E361="Mão de Obra",J361,"")</f>
        <v/>
      </c>
      <c r="O361" s="102" t="n">
        <f aca="false">IF(N361&lt;&gt;"","",M361)</f>
        <v>0.76</v>
      </c>
      <c r="P361" s="103" t="str">
        <f aca="false">IF(A361="Composição",B361,"")</f>
        <v/>
      </c>
      <c r="Q361" s="102" t="str">
        <f aca="false">IF(P361&lt;&gt;"",SUMIF(L361:L394,L361,N361:N394),"")</f>
        <v/>
      </c>
      <c r="R361" s="102" t="str">
        <f aca="false">IF(P361&lt;&gt;"",SUMIF(L361:L394,L361,O361:O394),"")</f>
        <v/>
      </c>
    </row>
    <row r="362" customFormat="false" ht="14" hidden="false" customHeight="false" outlineLevel="0" collapsed="false">
      <c r="A362" s="143" t="s">
        <v>128</v>
      </c>
      <c r="B362" s="144" t="s">
        <v>245</v>
      </c>
      <c r="C362" s="143" t="str">
        <f aca="false">VLOOKUP(B362,INSUMOS!$A:$I,2,0)</f>
        <v>SINAPI</v>
      </c>
      <c r="D362" s="143" t="str">
        <f aca="false">VLOOKUP(B362,INSUMOS!$A:$I,3,0)</f>
        <v>EXAMES - HORISTA (COLETADO CAIXA)</v>
      </c>
      <c r="E362" s="143" t="str">
        <f aca="false">VLOOKUP(B362,INSUMOS!$A:$I,4,0)</f>
        <v>Outros</v>
      </c>
      <c r="F362" s="143"/>
      <c r="G362" s="145" t="str">
        <f aca="false">VLOOKUP(B362,INSUMOS!$A:$I,5,0)</f>
        <v>H</v>
      </c>
      <c r="H362" s="146" t="n">
        <v>1</v>
      </c>
      <c r="I362" s="147" t="n">
        <f aca="false">VLOOKUP(B362,INSUMOS!$A:$I,8,0)</f>
        <v>0.81</v>
      </c>
      <c r="J362" s="147" t="n">
        <f aca="false">TRUNC(H362*I362,2)</f>
        <v>0.81</v>
      </c>
      <c r="K362" s="217"/>
      <c r="L362" s="176" t="n">
        <f aca="false">IF(AND(A363&lt;&gt;"",A362=""),L361+1,L361)</f>
        <v>43</v>
      </c>
      <c r="M362" s="101" t="n">
        <f aca="false">IF(OR(A362="Insumo",A362="Composição Auxiliar"),J362,"")</f>
        <v>0.81</v>
      </c>
      <c r="N362" s="102" t="str">
        <f aca="false">IF(E362="Mão de Obra",J362,"")</f>
        <v/>
      </c>
      <c r="O362" s="102" t="n">
        <f aca="false">IF(N362&lt;&gt;"","",M362)</f>
        <v>0.81</v>
      </c>
      <c r="P362" s="103" t="str">
        <f aca="false">IF(A362="Composição",B362,"")</f>
        <v/>
      </c>
      <c r="Q362" s="102" t="str">
        <f aca="false">IF(P362&lt;&gt;"",SUMIF(L362:L394,L362,N362:N394),"")</f>
        <v/>
      </c>
      <c r="R362" s="102" t="str">
        <f aca="false">IF(P362&lt;&gt;"",SUMIF(L362:L394,L362,O362:O394),"")</f>
        <v/>
      </c>
    </row>
    <row r="363" customFormat="false" ht="25" hidden="false" customHeight="false" outlineLevel="0" collapsed="false">
      <c r="A363" s="143" t="s">
        <v>128</v>
      </c>
      <c r="B363" s="144" t="s">
        <v>338</v>
      </c>
      <c r="C363" s="143" t="str">
        <f aca="false">VLOOKUP(B363,INSUMOS!$A:$I,2,0)</f>
        <v>SINAPI</v>
      </c>
      <c r="D363" s="143" t="str">
        <f aca="false">VLOOKUP(B363,INSUMOS!$A:$I,3,0)</f>
        <v>FERRAMENTAS - FAMILIA OPERADOR ESCAVADEIRA - HORISTA (ENCARGOS COMPLEMENTARES - COLETADO CAIXA)</v>
      </c>
      <c r="E363" s="143" t="str">
        <f aca="false">VLOOKUP(B363,INSUMOS!$A:$I,4,0)</f>
        <v>Equipamento</v>
      </c>
      <c r="F363" s="143"/>
      <c r="G363" s="145" t="str">
        <f aca="false">VLOOKUP(B363,INSUMOS!$A:$I,5,0)</f>
        <v>H</v>
      </c>
      <c r="H363" s="146" t="n">
        <v>1</v>
      </c>
      <c r="I363" s="147" t="n">
        <f aca="false">VLOOKUP(B363,INSUMOS!$A:$I,8,0)</f>
        <v>0.01</v>
      </c>
      <c r="J363" s="147" t="n">
        <f aca="false">TRUNC(H363*I363,2)</f>
        <v>0.01</v>
      </c>
      <c r="K363" s="217"/>
      <c r="L363" s="176" t="n">
        <f aca="false">IF(AND(A364&lt;&gt;"",A363=""),L362+1,L362)</f>
        <v>43</v>
      </c>
      <c r="M363" s="101" t="n">
        <f aca="false">IF(OR(A363="Insumo",A363="Composição Auxiliar"),J363,"")</f>
        <v>0.01</v>
      </c>
      <c r="N363" s="102" t="str">
        <f aca="false">IF(E363="Mão de Obra",J363,"")</f>
        <v/>
      </c>
      <c r="O363" s="102" t="n">
        <f aca="false">IF(N363&lt;&gt;"","",M363)</f>
        <v>0.01</v>
      </c>
      <c r="P363" s="103" t="str">
        <f aca="false">IF(A363="Composição",B363,"")</f>
        <v/>
      </c>
      <c r="Q363" s="102" t="str">
        <f aca="false">IF(P363&lt;&gt;"",SUMIF(L363:L394,L363,N363:N394),"")</f>
        <v/>
      </c>
      <c r="R363" s="102" t="str">
        <f aca="false">IF(P363&lt;&gt;"",SUMIF(L363:L394,L363,O363:O394),"")</f>
        <v/>
      </c>
    </row>
    <row r="364" customFormat="false" ht="14" hidden="false" customHeight="false" outlineLevel="0" collapsed="false">
      <c r="A364" s="143" t="s">
        <v>128</v>
      </c>
      <c r="B364" s="144" t="s">
        <v>306</v>
      </c>
      <c r="C364" s="143" t="str">
        <f aca="false">VLOOKUP(B364,INSUMOS!$A:$I,2,0)</f>
        <v>SINAPI</v>
      </c>
      <c r="D364" s="143" t="str">
        <f aca="false">VLOOKUP(B364,INSUMOS!$A:$I,3,0)</f>
        <v>OPERADOR DE MARTELETE OU MARTELETEIRO</v>
      </c>
      <c r="E364" s="143" t="str">
        <f aca="false">VLOOKUP(B364,INSUMOS!$A:$I,4,0)</f>
        <v>Mão de Obra</v>
      </c>
      <c r="F364" s="143"/>
      <c r="G364" s="145" t="str">
        <f aca="false">VLOOKUP(B364,INSUMOS!$A:$I,5,0)</f>
        <v>H</v>
      </c>
      <c r="H364" s="146" t="n">
        <v>1</v>
      </c>
      <c r="I364" s="147" t="n">
        <f aca="false">VLOOKUP(B364,INSUMOS!$A:$I,8,0)</f>
        <v>15.53</v>
      </c>
      <c r="J364" s="147" t="n">
        <f aca="false">TRUNC(H364*I364,2)</f>
        <v>15.53</v>
      </c>
      <c r="K364" s="217"/>
      <c r="L364" s="176" t="n">
        <f aca="false">IF(AND(A365&lt;&gt;"",A364=""),L363+1,L363)</f>
        <v>43</v>
      </c>
      <c r="M364" s="101" t="n">
        <f aca="false">IF(OR(A364="Insumo",A364="Composição Auxiliar"),J364,"")</f>
        <v>15.53</v>
      </c>
      <c r="N364" s="102" t="n">
        <f aca="false">IF(E364="Mão de Obra",J364,"")</f>
        <v>15.53</v>
      </c>
      <c r="O364" s="102" t="str">
        <f aca="false">IF(N364&lt;&gt;"","",M364)</f>
        <v/>
      </c>
      <c r="P364" s="103" t="str">
        <f aca="false">IF(A364="Composição",B364,"")</f>
        <v/>
      </c>
      <c r="Q364" s="102" t="str">
        <f aca="false">IF(P364&lt;&gt;"",SUMIF(L364:L394,L364,N364:N394),"")</f>
        <v/>
      </c>
      <c r="R364" s="102" t="str">
        <f aca="false">IF(P364&lt;&gt;"",SUMIF(L364:L394,L364,O364:O394),"")</f>
        <v/>
      </c>
    </row>
    <row r="365" customFormat="false" ht="14" hidden="false" customHeight="false" outlineLevel="0" collapsed="false">
      <c r="A365" s="143" t="s">
        <v>128</v>
      </c>
      <c r="B365" s="144" t="s">
        <v>247</v>
      </c>
      <c r="C365" s="143" t="str">
        <f aca="false">VLOOKUP(B365,INSUMOS!$A:$I,2,0)</f>
        <v>SINAPI</v>
      </c>
      <c r="D365" s="143" t="str">
        <f aca="false">VLOOKUP(B365,INSUMOS!$A:$I,3,0)</f>
        <v>SEGURO - HORISTA (COLETADO CAIXA)</v>
      </c>
      <c r="E365" s="143" t="str">
        <f aca="false">VLOOKUP(B365,INSUMOS!$A:$I,4,0)</f>
        <v>Taxas</v>
      </c>
      <c r="F365" s="143"/>
      <c r="G365" s="145" t="str">
        <f aca="false">VLOOKUP(B365,INSUMOS!$A:$I,5,0)</f>
        <v>H</v>
      </c>
      <c r="H365" s="146" t="n">
        <v>1</v>
      </c>
      <c r="I365" s="147" t="n">
        <f aca="false">VLOOKUP(B365,INSUMOS!$A:$I,8,0)</f>
        <v>0.06</v>
      </c>
      <c r="J365" s="147" t="n">
        <f aca="false">TRUNC(H365*I365,2)</f>
        <v>0.06</v>
      </c>
      <c r="K365" s="217"/>
      <c r="L365" s="176" t="n">
        <f aca="false">IF(AND(A366&lt;&gt;"",A365=""),L364+1,L364)</f>
        <v>43</v>
      </c>
      <c r="M365" s="101" t="n">
        <f aca="false">IF(OR(A365="Insumo",A365="Composição Auxiliar"),J365,"")</f>
        <v>0.06</v>
      </c>
      <c r="N365" s="102" t="str">
        <f aca="false">IF(E365="Mão de Obra",J365,"")</f>
        <v/>
      </c>
      <c r="O365" s="102" t="n">
        <f aca="false">IF(N365&lt;&gt;"","",M365)</f>
        <v>0.06</v>
      </c>
      <c r="P365" s="103" t="str">
        <f aca="false">IF(A365="Composição",B365,"")</f>
        <v/>
      </c>
      <c r="Q365" s="102" t="str">
        <f aca="false">IF(P365&lt;&gt;"",SUMIF(L365:L394,L365,N365:N394),"")</f>
        <v/>
      </c>
      <c r="R365" s="102" t="str">
        <f aca="false">IF(P365&lt;&gt;"",SUMIF(L365:L394,L365,O365:O394),"")</f>
        <v/>
      </c>
    </row>
    <row r="366" customFormat="false" ht="14" hidden="false" customHeight="false" outlineLevel="0" collapsed="false">
      <c r="A366" s="143" t="s">
        <v>128</v>
      </c>
      <c r="B366" s="144" t="s">
        <v>255</v>
      </c>
      <c r="C366" s="143" t="str">
        <f aca="false">VLOOKUP(B366,INSUMOS!$A:$I,2,0)</f>
        <v>SINAPI</v>
      </c>
      <c r="D366" s="143" t="str">
        <f aca="false">VLOOKUP(B366,INSUMOS!$A:$I,3,0)</f>
        <v>TRANSPORTE - HORISTA (COLETADO CAIXA)</v>
      </c>
      <c r="E366" s="143" t="str">
        <f aca="false">VLOOKUP(B366,INSUMOS!$A:$I,4,0)</f>
        <v>Serviços</v>
      </c>
      <c r="F366" s="143"/>
      <c r="G366" s="145" t="str">
        <f aca="false">VLOOKUP(B366,INSUMOS!$A:$I,5,0)</f>
        <v>H</v>
      </c>
      <c r="H366" s="146" t="n">
        <v>1</v>
      </c>
      <c r="I366" s="147" t="n">
        <f aca="false">VLOOKUP(B366,INSUMOS!$A:$I,8,0)</f>
        <v>0.75</v>
      </c>
      <c r="J366" s="147" t="n">
        <f aca="false">TRUNC(H366*I366,2)</f>
        <v>0.75</v>
      </c>
      <c r="K366" s="217"/>
      <c r="L366" s="176" t="n">
        <f aca="false">IF(AND(A367&lt;&gt;"",A366=""),L365+1,L365)</f>
        <v>43</v>
      </c>
      <c r="M366" s="101" t="n">
        <f aca="false">IF(OR(A366="Insumo",A366="Composição Auxiliar"),J366,"")</f>
        <v>0.75</v>
      </c>
      <c r="N366" s="102" t="str">
        <f aca="false">IF(E366="Mão de Obra",J366,"")</f>
        <v/>
      </c>
      <c r="O366" s="102" t="n">
        <f aca="false">IF(N366&lt;&gt;"","",M366)</f>
        <v>0.75</v>
      </c>
      <c r="P366" s="103" t="str">
        <f aca="false">IF(A366="Composição",B366,"")</f>
        <v/>
      </c>
      <c r="Q366" s="102" t="str">
        <f aca="false">IF(P366&lt;&gt;"",SUMIF(L366:L394,L366,N366:N394),"")</f>
        <v/>
      </c>
      <c r="R366" s="102" t="str">
        <f aca="false">IF(P366&lt;&gt;"",SUMIF(L366:L394,L366,O366:O394),"")</f>
        <v/>
      </c>
    </row>
    <row r="367" customFormat="false" ht="14" hidden="false" customHeight="false" outlineLevel="0" collapsed="false">
      <c r="A367" s="149"/>
      <c r="B367" s="149"/>
      <c r="C367" s="149"/>
      <c r="D367" s="149"/>
      <c r="E367" s="149"/>
      <c r="F367" s="150"/>
      <c r="G367" s="149"/>
      <c r="H367" s="150"/>
      <c r="I367" s="149"/>
      <c r="J367" s="150"/>
      <c r="K367" s="217"/>
      <c r="L367" s="176" t="n">
        <f aca="false">IF(AND(A368&lt;&gt;"",A367=""),L366+1,L366)</f>
        <v>43</v>
      </c>
      <c r="M367" s="101" t="str">
        <f aca="false">IF(OR(A367="Insumo",A367="Composição Auxiliar"),J367,"")</f>
        <v/>
      </c>
      <c r="N367" s="102" t="str">
        <f aca="false">IF(E367="Mão de Obra",J367,"")</f>
        <v/>
      </c>
      <c r="O367" s="102" t="str">
        <f aca="false">IF(N367&lt;&gt;"","",M367)</f>
        <v/>
      </c>
      <c r="P367" s="103" t="str">
        <f aca="false">IF(A367="Composição",B367,"")</f>
        <v/>
      </c>
      <c r="Q367" s="102" t="str">
        <f aca="false">IF(P367&lt;&gt;"",SUMIF(L367:L394,L367,N367:N394),"")</f>
        <v/>
      </c>
      <c r="R367" s="102" t="str">
        <f aca="false">IF(P367&lt;&gt;"",SUMIF(L367:L394,L367,O367:O394),"")</f>
        <v/>
      </c>
    </row>
    <row r="368" customFormat="false" ht="14.5" hidden="false" customHeight="false" outlineLevel="0" collapsed="false">
      <c r="A368" s="149"/>
      <c r="B368" s="149"/>
      <c r="C368" s="149"/>
      <c r="D368" s="149"/>
      <c r="E368" s="149"/>
      <c r="F368" s="150"/>
      <c r="G368" s="149"/>
      <c r="H368" s="151"/>
      <c r="I368" s="151"/>
      <c r="J368" s="150"/>
      <c r="K368" s="217"/>
      <c r="L368" s="176" t="n">
        <f aca="false">IF(AND(A369&lt;&gt;"",A368=""),L367+1,L367)</f>
        <v>43</v>
      </c>
      <c r="M368" s="101" t="str">
        <f aca="false">IF(OR(A368="Insumo",A368="Composição Auxiliar"),J368,"")</f>
        <v/>
      </c>
      <c r="N368" s="102" t="str">
        <f aca="false">IF(E368="Mão de Obra",J368,"")</f>
        <v/>
      </c>
      <c r="O368" s="102" t="str">
        <f aca="false">IF(N368&lt;&gt;"","",M368)</f>
        <v/>
      </c>
      <c r="P368" s="103" t="str">
        <f aca="false">IF(A368="Composição",B368,"")</f>
        <v/>
      </c>
      <c r="Q368" s="102" t="str">
        <f aca="false">IF(P368&lt;&gt;"",SUMIF(L368:L394,L368,N368:N394),"")</f>
        <v/>
      </c>
      <c r="R368" s="102" t="str">
        <f aca="false">IF(P368&lt;&gt;"",SUMIF(L368:L394,L368,O368:O394),"")</f>
        <v/>
      </c>
    </row>
    <row r="369" customFormat="false" ht="14.5" hidden="false" customHeight="false" outlineLevel="0" collapsed="false">
      <c r="A369" s="155"/>
      <c r="B369" s="155"/>
      <c r="C369" s="155"/>
      <c r="D369" s="155"/>
      <c r="E369" s="155"/>
      <c r="F369" s="155"/>
      <c r="G369" s="155"/>
      <c r="H369" s="155"/>
      <c r="I369" s="155"/>
      <c r="J369" s="155"/>
      <c r="K369" s="217"/>
      <c r="L369" s="176" t="n">
        <f aca="false">IF(AND(A370&lt;&gt;"",A369=""),L368+1,L368)</f>
        <v>43</v>
      </c>
      <c r="M369" s="101" t="str">
        <f aca="false">IF(OR(A369="Insumo",A369="Composição Auxiliar"),J369,"")</f>
        <v/>
      </c>
      <c r="N369" s="102" t="str">
        <f aca="false">IF(E369="Mão de Obra",J369,"")</f>
        <v/>
      </c>
      <c r="O369" s="102" t="str">
        <f aca="false">IF(N369&lt;&gt;"","",M369)</f>
        <v/>
      </c>
      <c r="P369" s="103" t="str">
        <f aca="false">IF(A369="Composição",B369,"")</f>
        <v/>
      </c>
      <c r="Q369" s="102" t="str">
        <f aca="false">IF(P369&lt;&gt;"",SUMIF(L369:L394,L369,N369:N394),"")</f>
        <v/>
      </c>
      <c r="R369" s="102" t="str">
        <f aca="false">IF(P369&lt;&gt;"",SUMIF(L369:L394,L369,O369:O394),"")</f>
        <v/>
      </c>
    </row>
    <row r="370" customFormat="false" ht="37.5" hidden="false" customHeight="true" outlineLevel="0" collapsed="false">
      <c r="A370" s="118"/>
      <c r="B370" s="119" t="s">
        <v>115</v>
      </c>
      <c r="C370" s="118" t="s">
        <v>116</v>
      </c>
      <c r="D370" s="118" t="s">
        <v>117</v>
      </c>
      <c r="E370" s="118" t="s">
        <v>118</v>
      </c>
      <c r="F370" s="118"/>
      <c r="G370" s="120" t="s">
        <v>119</v>
      </c>
      <c r="H370" s="119" t="s">
        <v>120</v>
      </c>
      <c r="I370" s="119" t="s">
        <v>130</v>
      </c>
      <c r="J370" s="119" t="s">
        <v>131</v>
      </c>
      <c r="K370" s="217"/>
      <c r="L370" s="176" t="n">
        <f aca="false">IF(AND(A371&lt;&gt;"",A370=""),L369+1,L369)</f>
        <v>44</v>
      </c>
      <c r="M370" s="101" t="str">
        <f aca="false">IF(OR(A370="Insumo",A370="Composição Auxiliar"),J370,"")</f>
        <v/>
      </c>
      <c r="N370" s="102" t="str">
        <f aca="false">IF(E370="Mão de Obra",J370,"")</f>
        <v/>
      </c>
      <c r="O370" s="102" t="str">
        <f aca="false">IF(N370&lt;&gt;"","",M370)</f>
        <v/>
      </c>
      <c r="P370" s="103" t="str">
        <f aca="false">IF(A370="Composição",B370,"")</f>
        <v/>
      </c>
      <c r="Q370" s="102" t="str">
        <f aca="false">IF(P370&lt;&gt;"",SUMIF(L370:L394,L370,N370:N394),"")</f>
        <v/>
      </c>
      <c r="R370" s="102" t="str">
        <f aca="false">IF(P370&lt;&gt;"",SUMIF(L370:L394,L370,O370:O394),"")</f>
        <v/>
      </c>
    </row>
    <row r="371" customFormat="false" ht="14" hidden="false" customHeight="true" outlineLevel="0" collapsed="false">
      <c r="A371" s="122" t="s">
        <v>121</v>
      </c>
      <c r="B371" s="55" t="s">
        <v>203</v>
      </c>
      <c r="C371" s="122" t="s">
        <v>122</v>
      </c>
      <c r="D371" s="122" t="s">
        <v>204</v>
      </c>
      <c r="E371" s="122" t="s">
        <v>124</v>
      </c>
      <c r="F371" s="122"/>
      <c r="G371" s="123" t="s">
        <v>125</v>
      </c>
      <c r="H371" s="124" t="n">
        <v>1</v>
      </c>
      <c r="I371" s="125" t="n">
        <f aca="false">SUMIF(L:L,$L371,M:M)</f>
        <v>26.46</v>
      </c>
      <c r="J371" s="125" t="n">
        <f aca="false">TRUNC(H371*I371,2)</f>
        <v>26.46</v>
      </c>
      <c r="K371" s="217"/>
      <c r="L371" s="176" t="n">
        <f aca="false">IF(AND(A372&lt;&gt;"",A371=""),L370+1,L370)</f>
        <v>44</v>
      </c>
      <c r="M371" s="101" t="str">
        <f aca="false">IF(OR(A371="Insumo",A371="Composição Auxiliar"),J371,"")</f>
        <v/>
      </c>
      <c r="N371" s="102" t="str">
        <f aca="false">IF(E371="Mão de Obra",J371,"")</f>
        <v/>
      </c>
      <c r="O371" s="102" t="str">
        <f aca="false">IF(N371&lt;&gt;"","",M371)</f>
        <v/>
      </c>
      <c r="P371" s="103" t="str">
        <f aca="false">IF(A371="Composição",B371,"")</f>
        <v> 88309 </v>
      </c>
      <c r="Q371" s="102" t="n">
        <f aca="false">IF(P371&lt;&gt;"",SUMIF(L371:L394,L371,N371:N394),"")</f>
        <v>20.55</v>
      </c>
      <c r="R371" s="102" t="n">
        <f aca="false">IF(P371&lt;&gt;"",SUMIF(L371:L394,L371,O371:O394),"")</f>
        <v>5.91</v>
      </c>
    </row>
    <row r="372" customFormat="false" ht="25" hidden="false" customHeight="true" outlineLevel="0" collapsed="false">
      <c r="A372" s="129" t="s">
        <v>126</v>
      </c>
      <c r="B372" s="130" t="s">
        <v>307</v>
      </c>
      <c r="C372" s="129" t="s">
        <v>122</v>
      </c>
      <c r="D372" s="129" t="s">
        <v>308</v>
      </c>
      <c r="E372" s="129" t="s">
        <v>124</v>
      </c>
      <c r="F372" s="129"/>
      <c r="G372" s="131" t="s">
        <v>125</v>
      </c>
      <c r="H372" s="132" t="n">
        <v>1</v>
      </c>
      <c r="I372" s="133" t="n">
        <f aca="false">SUMIFS(J:J,A:A,"Composição",B:B,$B372)</f>
        <v>0.35</v>
      </c>
      <c r="J372" s="133" t="n">
        <f aca="false">TRUNC(H372*I372,2)</f>
        <v>0.35</v>
      </c>
      <c r="K372" s="217"/>
      <c r="L372" s="176" t="n">
        <f aca="false">IF(AND(A373&lt;&gt;"",A372=""),L371+1,L371)</f>
        <v>44</v>
      </c>
      <c r="M372" s="101" t="n">
        <f aca="false">IF(OR(A372="Insumo",A372="Composição Auxiliar"),J372,"")</f>
        <v>0.35</v>
      </c>
      <c r="N372" s="102" t="str">
        <f aca="false">IF(E372="Mão de Obra",J372,"")</f>
        <v/>
      </c>
      <c r="O372" s="102" t="n">
        <f aca="false">IF(N372&lt;&gt;"","",M372)</f>
        <v>0.35</v>
      </c>
      <c r="P372" s="103" t="str">
        <f aca="false">IF(A372="Composição",B372,"")</f>
        <v/>
      </c>
      <c r="Q372" s="102" t="str">
        <f aca="false">IF(P372&lt;&gt;"",SUMIF(L372:L394,L372,N372:N394),"")</f>
        <v/>
      </c>
      <c r="R372" s="102" t="str">
        <f aca="false">IF(P372&lt;&gt;"",SUMIF(L372:L394,L372,O372:O394),"")</f>
        <v/>
      </c>
    </row>
    <row r="373" customFormat="false" ht="14" hidden="false" customHeight="false" outlineLevel="0" collapsed="false">
      <c r="A373" s="143" t="s">
        <v>128</v>
      </c>
      <c r="B373" s="144" t="s">
        <v>129</v>
      </c>
      <c r="C373" s="143" t="str">
        <f aca="false">VLOOKUP(B373,INSUMOS!$A:$I,2,0)</f>
        <v>SINAPI</v>
      </c>
      <c r="D373" s="143" t="str">
        <f aca="false">VLOOKUP(B373,INSUMOS!$A:$I,3,0)</f>
        <v>ALIMENTACAO - HORISTA (COLETADO CAIXA)</v>
      </c>
      <c r="E373" s="143" t="str">
        <f aca="false">VLOOKUP(B373,INSUMOS!$A:$I,4,0)</f>
        <v>Outros</v>
      </c>
      <c r="F373" s="143"/>
      <c r="G373" s="145" t="str">
        <f aca="false">VLOOKUP(B373,INSUMOS!$A:$I,5,0)</f>
        <v>H</v>
      </c>
      <c r="H373" s="146" t="n">
        <v>1</v>
      </c>
      <c r="I373" s="147" t="n">
        <f aca="false">VLOOKUP(B373,INSUMOS!$A:$I,8,0)</f>
        <v>2.11</v>
      </c>
      <c r="J373" s="147" t="n">
        <f aca="false">TRUNC(H373*I373,2)</f>
        <v>2.11</v>
      </c>
      <c r="K373" s="217"/>
      <c r="L373" s="176" t="n">
        <f aca="false">IF(AND(A374&lt;&gt;"",A373=""),L372+1,L372)</f>
        <v>44</v>
      </c>
      <c r="M373" s="101" t="n">
        <f aca="false">IF(OR(A373="Insumo",A373="Composição Auxiliar"),J373,"")</f>
        <v>2.11</v>
      </c>
      <c r="N373" s="102" t="str">
        <f aca="false">IF(E373="Mão de Obra",J373,"")</f>
        <v/>
      </c>
      <c r="O373" s="102" t="n">
        <f aca="false">IF(N373&lt;&gt;"","",M373)</f>
        <v>2.11</v>
      </c>
      <c r="P373" s="103" t="str">
        <f aca="false">IF(A373="Composição",B373,"")</f>
        <v/>
      </c>
      <c r="Q373" s="102" t="str">
        <f aca="false">IF(P373&lt;&gt;"",SUMIF(L373:L394,L373,N373:N394),"")</f>
        <v/>
      </c>
      <c r="R373" s="102" t="str">
        <f aca="false">IF(P373&lt;&gt;"",SUMIF(L373:L394,L373,O373:O394),"")</f>
        <v/>
      </c>
    </row>
    <row r="374" customFormat="false" ht="25" hidden="false" customHeight="false" outlineLevel="0" collapsed="false">
      <c r="A374" s="143" t="s">
        <v>128</v>
      </c>
      <c r="B374" s="144" t="s">
        <v>339</v>
      </c>
      <c r="C374" s="143" t="str">
        <f aca="false">VLOOKUP(B374,INSUMOS!$A:$I,2,0)</f>
        <v>SINAPI</v>
      </c>
      <c r="D374" s="143" t="str">
        <f aca="false">VLOOKUP(B374,INSUMOS!$A:$I,3,0)</f>
        <v>EPI - FAMILIA PEDREIRO - HORISTA (ENCARGOS COMPLEMENTARES - COLETADO CAIXA)</v>
      </c>
      <c r="E374" s="143" t="str">
        <f aca="false">VLOOKUP(B374,INSUMOS!$A:$I,4,0)</f>
        <v>Equipamento</v>
      </c>
      <c r="F374" s="143"/>
      <c r="G374" s="145" t="str">
        <f aca="false">VLOOKUP(B374,INSUMOS!$A:$I,5,0)</f>
        <v>H</v>
      </c>
      <c r="H374" s="146" t="n">
        <v>1</v>
      </c>
      <c r="I374" s="147" t="n">
        <f aca="false">VLOOKUP(B374,INSUMOS!$A:$I,8,0)</f>
        <v>1.09</v>
      </c>
      <c r="J374" s="147" t="n">
        <f aca="false">TRUNC(H374*I374,2)</f>
        <v>1.09</v>
      </c>
      <c r="K374" s="217"/>
      <c r="L374" s="176" t="n">
        <f aca="false">IF(AND(A375&lt;&gt;"",A374=""),L373+1,L373)</f>
        <v>44</v>
      </c>
      <c r="M374" s="101" t="n">
        <f aca="false">IF(OR(A374="Insumo",A374="Composição Auxiliar"),J374,"")</f>
        <v>1.09</v>
      </c>
      <c r="N374" s="102" t="str">
        <f aca="false">IF(E374="Mão de Obra",J374,"")</f>
        <v/>
      </c>
      <c r="O374" s="102" t="n">
        <f aca="false">IF(N374&lt;&gt;"","",M374)</f>
        <v>1.09</v>
      </c>
      <c r="P374" s="103" t="str">
        <f aca="false">IF(A374="Composição",B374,"")</f>
        <v/>
      </c>
      <c r="Q374" s="102" t="str">
        <f aca="false">IF(P374&lt;&gt;"",SUMIF(L374:L394,L374,N374:N394),"")</f>
        <v/>
      </c>
      <c r="R374" s="102" t="str">
        <f aca="false">IF(P374&lt;&gt;"",SUMIF(L374:L394,L374,O374:O394),"")</f>
        <v/>
      </c>
    </row>
    <row r="375" customFormat="false" ht="14" hidden="false" customHeight="false" outlineLevel="0" collapsed="false">
      <c r="A375" s="143" t="s">
        <v>128</v>
      </c>
      <c r="B375" s="144" t="s">
        <v>245</v>
      </c>
      <c r="C375" s="143" t="str">
        <f aca="false">VLOOKUP(B375,INSUMOS!$A:$I,2,0)</f>
        <v>SINAPI</v>
      </c>
      <c r="D375" s="143" t="str">
        <f aca="false">VLOOKUP(B375,INSUMOS!$A:$I,3,0)</f>
        <v>EXAMES - HORISTA (COLETADO CAIXA)</v>
      </c>
      <c r="E375" s="143" t="str">
        <f aca="false">VLOOKUP(B375,INSUMOS!$A:$I,4,0)</f>
        <v>Outros</v>
      </c>
      <c r="F375" s="143"/>
      <c r="G375" s="145" t="str">
        <f aca="false">VLOOKUP(B375,INSUMOS!$A:$I,5,0)</f>
        <v>H</v>
      </c>
      <c r="H375" s="146" t="n">
        <v>1</v>
      </c>
      <c r="I375" s="147" t="n">
        <f aca="false">VLOOKUP(B375,INSUMOS!$A:$I,8,0)</f>
        <v>0.81</v>
      </c>
      <c r="J375" s="147" t="n">
        <f aca="false">TRUNC(H375*I375,2)</f>
        <v>0.81</v>
      </c>
      <c r="K375" s="217"/>
      <c r="L375" s="176" t="n">
        <f aca="false">IF(AND(A376&lt;&gt;"",A375=""),L374+1,L374)</f>
        <v>44</v>
      </c>
      <c r="M375" s="101" t="n">
        <f aca="false">IF(OR(A375="Insumo",A375="Composição Auxiliar"),J375,"")</f>
        <v>0.81</v>
      </c>
      <c r="N375" s="102" t="str">
        <f aca="false">IF(E375="Mão de Obra",J375,"")</f>
        <v/>
      </c>
      <c r="O375" s="102" t="n">
        <f aca="false">IF(N375&lt;&gt;"","",M375)</f>
        <v>0.81</v>
      </c>
      <c r="P375" s="103" t="str">
        <f aca="false">IF(A375="Composição",B375,"")</f>
        <v/>
      </c>
      <c r="Q375" s="102" t="str">
        <f aca="false">IF(P375&lt;&gt;"",SUMIF(L375:L394,L375,N375:N394),"")</f>
        <v/>
      </c>
      <c r="R375" s="102" t="str">
        <f aca="false">IF(P375&lt;&gt;"",SUMIF(L375:L394,L375,O375:O394),"")</f>
        <v/>
      </c>
    </row>
    <row r="376" customFormat="false" ht="25" hidden="false" customHeight="false" outlineLevel="0" collapsed="false">
      <c r="A376" s="143" t="s">
        <v>128</v>
      </c>
      <c r="B376" s="144" t="s">
        <v>340</v>
      </c>
      <c r="C376" s="143" t="str">
        <f aca="false">VLOOKUP(B376,INSUMOS!$A:$I,2,0)</f>
        <v>SINAPI</v>
      </c>
      <c r="D376" s="143" t="str">
        <f aca="false">VLOOKUP(B376,INSUMOS!$A:$I,3,0)</f>
        <v>FERRAMENTAS - FAMILIA PEDREIRO - HORISTA (ENCARGOS COMPLEMENTARES - COLETADO CAIXA)</v>
      </c>
      <c r="E376" s="143" t="str">
        <f aca="false">VLOOKUP(B376,INSUMOS!$A:$I,4,0)</f>
        <v>Equipamento</v>
      </c>
      <c r="F376" s="143"/>
      <c r="G376" s="145" t="str">
        <f aca="false">VLOOKUP(B376,INSUMOS!$A:$I,5,0)</f>
        <v>H</v>
      </c>
      <c r="H376" s="146" t="n">
        <v>1</v>
      </c>
      <c r="I376" s="147" t="n">
        <f aca="false">VLOOKUP(B376,INSUMOS!$A:$I,8,0)</f>
        <v>0.74</v>
      </c>
      <c r="J376" s="147" t="n">
        <f aca="false">TRUNC(H376*I376,2)</f>
        <v>0.74</v>
      </c>
      <c r="K376" s="217"/>
      <c r="L376" s="176" t="n">
        <f aca="false">IF(AND(A377&lt;&gt;"",A376=""),L375+1,L375)</f>
        <v>44</v>
      </c>
      <c r="M376" s="101" t="n">
        <f aca="false">IF(OR(A376="Insumo",A376="Composição Auxiliar"),J376,"")</f>
        <v>0.74</v>
      </c>
      <c r="N376" s="102" t="str">
        <f aca="false">IF(E376="Mão de Obra",J376,"")</f>
        <v/>
      </c>
      <c r="O376" s="102" t="n">
        <f aca="false">IF(N376&lt;&gt;"","",M376)</f>
        <v>0.74</v>
      </c>
      <c r="P376" s="103" t="str">
        <f aca="false">IF(A376="Composição",B376,"")</f>
        <v/>
      </c>
      <c r="Q376" s="102" t="str">
        <f aca="false">IF(P376&lt;&gt;"",SUMIF(L376:L394,L376,N376:N394),"")</f>
        <v/>
      </c>
      <c r="R376" s="102" t="str">
        <f aca="false">IF(P376&lt;&gt;"",SUMIF(L376:L394,L376,O376:O394),"")</f>
        <v/>
      </c>
    </row>
    <row r="377" customFormat="false" ht="14" hidden="false" customHeight="false" outlineLevel="0" collapsed="false">
      <c r="A377" s="143" t="s">
        <v>128</v>
      </c>
      <c r="B377" s="144" t="s">
        <v>309</v>
      </c>
      <c r="C377" s="143" t="str">
        <f aca="false">VLOOKUP(B377,INSUMOS!$A:$I,2,0)</f>
        <v>SINAPI</v>
      </c>
      <c r="D377" s="143" t="str">
        <f aca="false">VLOOKUP(B377,INSUMOS!$A:$I,3,0)</f>
        <v>PEDREIRO (HORISTA)</v>
      </c>
      <c r="E377" s="143" t="str">
        <f aca="false">VLOOKUP(B377,INSUMOS!$A:$I,4,0)</f>
        <v>Mão de Obra</v>
      </c>
      <c r="F377" s="143"/>
      <c r="G377" s="145" t="str">
        <f aca="false">VLOOKUP(B377,INSUMOS!$A:$I,5,0)</f>
        <v>H</v>
      </c>
      <c r="H377" s="146" t="n">
        <v>1</v>
      </c>
      <c r="I377" s="147" t="n">
        <f aca="false">VLOOKUP(B377,INSUMOS!$A:$I,8,0)</f>
        <v>20.55</v>
      </c>
      <c r="J377" s="147" t="n">
        <f aca="false">TRUNC(H377*I377,2)</f>
        <v>20.55</v>
      </c>
      <c r="K377" s="217"/>
      <c r="L377" s="176" t="n">
        <f aca="false">IF(AND(A378&lt;&gt;"",A377=""),L376+1,L376)</f>
        <v>44</v>
      </c>
      <c r="M377" s="101" t="n">
        <f aca="false">IF(OR(A377="Insumo",A377="Composição Auxiliar"),J377,"")</f>
        <v>20.55</v>
      </c>
      <c r="N377" s="102" t="n">
        <f aca="false">IF(E377="Mão de Obra",J377,"")</f>
        <v>20.55</v>
      </c>
      <c r="O377" s="102" t="str">
        <f aca="false">IF(N377&lt;&gt;"","",M377)</f>
        <v/>
      </c>
      <c r="P377" s="103" t="str">
        <f aca="false">IF(A377="Composição",B377,"")</f>
        <v/>
      </c>
      <c r="Q377" s="102" t="str">
        <f aca="false">IF(P377&lt;&gt;"",SUMIF(L377:L394,L377,N377:N394),"")</f>
        <v/>
      </c>
      <c r="R377" s="102" t="str">
        <f aca="false">IF(P377&lt;&gt;"",SUMIF(L377:L394,L377,O377:O394),"")</f>
        <v/>
      </c>
    </row>
    <row r="378" customFormat="false" ht="14" hidden="false" customHeight="false" outlineLevel="0" collapsed="false">
      <c r="A378" s="143" t="s">
        <v>128</v>
      </c>
      <c r="B378" s="144" t="s">
        <v>247</v>
      </c>
      <c r="C378" s="143" t="str">
        <f aca="false">VLOOKUP(B378,INSUMOS!$A:$I,2,0)</f>
        <v>SINAPI</v>
      </c>
      <c r="D378" s="143" t="str">
        <f aca="false">VLOOKUP(B378,INSUMOS!$A:$I,3,0)</f>
        <v>SEGURO - HORISTA (COLETADO CAIXA)</v>
      </c>
      <c r="E378" s="143" t="str">
        <f aca="false">VLOOKUP(B378,INSUMOS!$A:$I,4,0)</f>
        <v>Taxas</v>
      </c>
      <c r="F378" s="143"/>
      <c r="G378" s="145" t="str">
        <f aca="false">VLOOKUP(B378,INSUMOS!$A:$I,5,0)</f>
        <v>H</v>
      </c>
      <c r="H378" s="146" t="n">
        <v>1</v>
      </c>
      <c r="I378" s="147" t="n">
        <f aca="false">VLOOKUP(B378,INSUMOS!$A:$I,8,0)</f>
        <v>0.06</v>
      </c>
      <c r="J378" s="147" t="n">
        <f aca="false">TRUNC(H378*I378,2)</f>
        <v>0.06</v>
      </c>
      <c r="K378" s="217"/>
      <c r="L378" s="176" t="n">
        <f aca="false">IF(AND(A379&lt;&gt;"",A378=""),L377+1,L377)</f>
        <v>44</v>
      </c>
      <c r="M378" s="101" t="n">
        <f aca="false">IF(OR(A378="Insumo",A378="Composição Auxiliar"),J378,"")</f>
        <v>0.06</v>
      </c>
      <c r="N378" s="102" t="str">
        <f aca="false">IF(E378="Mão de Obra",J378,"")</f>
        <v/>
      </c>
      <c r="O378" s="102" t="n">
        <f aca="false">IF(N378&lt;&gt;"","",M378)</f>
        <v>0.06</v>
      </c>
      <c r="P378" s="103" t="str">
        <f aca="false">IF(A378="Composição",B378,"")</f>
        <v/>
      </c>
      <c r="Q378" s="102" t="str">
        <f aca="false">IF(P378&lt;&gt;"",SUMIF(L378:L394,L378,N378:N394),"")</f>
        <v/>
      </c>
      <c r="R378" s="102" t="str">
        <f aca="false">IF(P378&lt;&gt;"",SUMIF(L378:L394,L378,O378:O394),"")</f>
        <v/>
      </c>
    </row>
    <row r="379" customFormat="false" ht="14" hidden="false" customHeight="false" outlineLevel="0" collapsed="false">
      <c r="A379" s="143" t="s">
        <v>128</v>
      </c>
      <c r="B379" s="144" t="s">
        <v>255</v>
      </c>
      <c r="C379" s="143" t="str">
        <f aca="false">VLOOKUP(B379,INSUMOS!$A:$I,2,0)</f>
        <v>SINAPI</v>
      </c>
      <c r="D379" s="143" t="str">
        <f aca="false">VLOOKUP(B379,INSUMOS!$A:$I,3,0)</f>
        <v>TRANSPORTE - HORISTA (COLETADO CAIXA)</v>
      </c>
      <c r="E379" s="143" t="str">
        <f aca="false">VLOOKUP(B379,INSUMOS!$A:$I,4,0)</f>
        <v>Serviços</v>
      </c>
      <c r="F379" s="143"/>
      <c r="G379" s="145" t="str">
        <f aca="false">VLOOKUP(B379,INSUMOS!$A:$I,5,0)</f>
        <v>H</v>
      </c>
      <c r="H379" s="146" t="n">
        <v>1</v>
      </c>
      <c r="I379" s="147" t="n">
        <f aca="false">VLOOKUP(B379,INSUMOS!$A:$I,8,0)</f>
        <v>0.75</v>
      </c>
      <c r="J379" s="147" t="n">
        <f aca="false">TRUNC(H379*I379,2)</f>
        <v>0.75</v>
      </c>
      <c r="K379" s="217"/>
      <c r="L379" s="176" t="n">
        <f aca="false">IF(AND(A380&lt;&gt;"",A379=""),L378+1,L378)</f>
        <v>44</v>
      </c>
      <c r="M379" s="101" t="n">
        <f aca="false">IF(OR(A379="Insumo",A379="Composição Auxiliar"),J379,"")</f>
        <v>0.75</v>
      </c>
      <c r="N379" s="102" t="str">
        <f aca="false">IF(E379="Mão de Obra",J379,"")</f>
        <v/>
      </c>
      <c r="O379" s="102" t="n">
        <f aca="false">IF(N379&lt;&gt;"","",M379)</f>
        <v>0.75</v>
      </c>
      <c r="P379" s="103" t="str">
        <f aca="false">IF(A379="Composição",B379,"")</f>
        <v/>
      </c>
      <c r="Q379" s="102" t="str">
        <f aca="false">IF(P379&lt;&gt;"",SUMIF(L379:L394,L379,N379:N394),"")</f>
        <v/>
      </c>
      <c r="R379" s="102" t="str">
        <f aca="false">IF(P379&lt;&gt;"",SUMIF(L379:L394,L379,O379:O394),"")</f>
        <v/>
      </c>
    </row>
    <row r="380" customFormat="false" ht="25" hidden="false" customHeight="true" outlineLevel="0" collapsed="false">
      <c r="A380" s="149"/>
      <c r="B380" s="149"/>
      <c r="C380" s="149"/>
      <c r="D380" s="149"/>
      <c r="E380" s="149"/>
      <c r="F380" s="150"/>
      <c r="G380" s="149"/>
      <c r="H380" s="150"/>
      <c r="I380" s="149"/>
      <c r="J380" s="150"/>
      <c r="K380" s="217"/>
      <c r="L380" s="176" t="n">
        <f aca="false">IF(AND(A381&lt;&gt;"",A380=""),L379+1,L379)</f>
        <v>44</v>
      </c>
      <c r="M380" s="101" t="str">
        <f aca="false">IF(OR(A380="Insumo",A380="Composição Auxiliar"),J380,"")</f>
        <v/>
      </c>
      <c r="N380" s="102" t="str">
        <f aca="false">IF(E380="Mão de Obra",J380,"")</f>
        <v/>
      </c>
      <c r="O380" s="102" t="str">
        <f aca="false">IF(N380&lt;&gt;"","",M380)</f>
        <v/>
      </c>
      <c r="P380" s="103" t="str">
        <f aca="false">IF(A380="Composição",B380,"")</f>
        <v/>
      </c>
      <c r="Q380" s="102" t="str">
        <f aca="false">IF(P380&lt;&gt;"",SUMIF(L380:L394,L380,N380:N394),"")</f>
        <v/>
      </c>
      <c r="R380" s="102" t="str">
        <f aca="false">IF(P380&lt;&gt;"",SUMIF(L380:L394,L380,O380:O394),"")</f>
        <v/>
      </c>
    </row>
    <row r="381" customFormat="false" ht="37.5" hidden="false" customHeight="true" outlineLevel="0" collapsed="false">
      <c r="A381" s="149"/>
      <c r="B381" s="149"/>
      <c r="C381" s="149"/>
      <c r="D381" s="149"/>
      <c r="E381" s="149"/>
      <c r="F381" s="150"/>
      <c r="G381" s="149"/>
      <c r="H381" s="151"/>
      <c r="I381" s="151"/>
      <c r="J381" s="150"/>
      <c r="K381" s="217"/>
      <c r="L381" s="176" t="n">
        <f aca="false">IF(AND(A382&lt;&gt;"",A381=""),L380+1,L380)</f>
        <v>44</v>
      </c>
      <c r="M381" s="101" t="str">
        <f aca="false">IF(OR(A381="Insumo",A381="Composição Auxiliar"),J381,"")</f>
        <v/>
      </c>
      <c r="N381" s="102" t="str">
        <f aca="false">IF(E381="Mão de Obra",J381,"")</f>
        <v/>
      </c>
      <c r="O381" s="102" t="str">
        <f aca="false">IF(N381&lt;&gt;"","",M381)</f>
        <v/>
      </c>
      <c r="P381" s="103" t="str">
        <f aca="false">IF(A381="Composição",B381,"")</f>
        <v/>
      </c>
      <c r="Q381" s="102" t="str">
        <f aca="false">IF(P381&lt;&gt;"",SUMIF(L381:L394,L381,N381:N394),"")</f>
        <v/>
      </c>
      <c r="R381" s="102" t="str">
        <f aca="false">IF(P381&lt;&gt;"",SUMIF(L381:L394,L381,O381:O394),"")</f>
        <v/>
      </c>
    </row>
    <row r="382" customFormat="false" ht="14.5" hidden="false" customHeight="false" outlineLevel="0" collapsed="false">
      <c r="A382" s="155"/>
      <c r="B382" s="155"/>
      <c r="C382" s="155"/>
      <c r="D382" s="155"/>
      <c r="E382" s="155"/>
      <c r="F382" s="155"/>
      <c r="G382" s="155"/>
      <c r="H382" s="155"/>
      <c r="I382" s="155"/>
      <c r="J382" s="155"/>
      <c r="K382" s="217"/>
      <c r="L382" s="176" t="n">
        <f aca="false">IF(AND(A383&lt;&gt;"",A382=""),L381+1,L381)</f>
        <v>44</v>
      </c>
      <c r="M382" s="101" t="str">
        <f aca="false">IF(OR(A382="Insumo",A382="Composição Auxiliar"),J382,"")</f>
        <v/>
      </c>
      <c r="N382" s="102" t="str">
        <f aca="false">IF(E382="Mão de Obra",J382,"")</f>
        <v/>
      </c>
      <c r="O382" s="102" t="str">
        <f aca="false">IF(N382&lt;&gt;"","",M382)</f>
        <v/>
      </c>
      <c r="P382" s="103" t="str">
        <f aca="false">IF(A382="Composição",B382,"")</f>
        <v/>
      </c>
      <c r="Q382" s="102" t="str">
        <f aca="false">IF(P382&lt;&gt;"",SUMIF(L382:L394,L382,N382:N394),"")</f>
        <v/>
      </c>
      <c r="R382" s="102" t="str">
        <f aca="false">IF(P382&lt;&gt;"",SUMIF(L382:L394,L382,O382:O394),"")</f>
        <v/>
      </c>
    </row>
    <row r="383" customFormat="false" ht="14" hidden="false" customHeight="true" outlineLevel="0" collapsed="false">
      <c r="A383" s="118"/>
      <c r="B383" s="119" t="s">
        <v>115</v>
      </c>
      <c r="C383" s="118" t="s">
        <v>116</v>
      </c>
      <c r="D383" s="118" t="s">
        <v>117</v>
      </c>
      <c r="E383" s="118" t="s">
        <v>118</v>
      </c>
      <c r="F383" s="118"/>
      <c r="G383" s="120" t="s">
        <v>119</v>
      </c>
      <c r="H383" s="119" t="s">
        <v>120</v>
      </c>
      <c r="I383" s="119" t="s">
        <v>130</v>
      </c>
      <c r="J383" s="119" t="s">
        <v>131</v>
      </c>
      <c r="K383" s="217"/>
      <c r="L383" s="176" t="n">
        <f aca="false">IF(AND(A384&lt;&gt;"",A383=""),L382+1,L382)</f>
        <v>45</v>
      </c>
      <c r="M383" s="101" t="str">
        <f aca="false">IF(OR(A383="Insumo",A383="Composição Auxiliar"),J383,"")</f>
        <v/>
      </c>
      <c r="N383" s="102" t="str">
        <f aca="false">IF(E383="Mão de Obra",J383,"")</f>
        <v/>
      </c>
      <c r="O383" s="102" t="str">
        <f aca="false">IF(N383&lt;&gt;"","",M383)</f>
        <v/>
      </c>
      <c r="P383" s="103" t="str">
        <f aca="false">IF(A383="Composição",B383,"")</f>
        <v/>
      </c>
      <c r="Q383" s="102" t="str">
        <f aca="false">IF(P383&lt;&gt;"",SUMIF(L383:L394,L383,N383:N394),"")</f>
        <v/>
      </c>
      <c r="R383" s="102" t="str">
        <f aca="false">IF(P383&lt;&gt;"",SUMIF(L383:L394,L383,O383:O394),"")</f>
        <v/>
      </c>
    </row>
    <row r="384" customFormat="false" ht="14" hidden="false" customHeight="true" outlineLevel="0" collapsed="false">
      <c r="A384" s="122" t="s">
        <v>121</v>
      </c>
      <c r="B384" s="55" t="s">
        <v>142</v>
      </c>
      <c r="C384" s="122" t="s">
        <v>122</v>
      </c>
      <c r="D384" s="122" t="s">
        <v>143</v>
      </c>
      <c r="E384" s="122" t="s">
        <v>124</v>
      </c>
      <c r="F384" s="122"/>
      <c r="G384" s="123" t="s">
        <v>125</v>
      </c>
      <c r="H384" s="124" t="n">
        <v>1</v>
      </c>
      <c r="I384" s="125" t="n">
        <f aca="false">SUMIF(L:L,$L384,M:M)</f>
        <v>17.74</v>
      </c>
      <c r="J384" s="125" t="n">
        <f aca="false">TRUNC(H384*I384,2)</f>
        <v>17.74</v>
      </c>
      <c r="K384" s="217"/>
      <c r="L384" s="176" t="n">
        <f aca="false">IF(AND(A385&lt;&gt;"",A384=""),L383+1,L383)</f>
        <v>45</v>
      </c>
      <c r="M384" s="101" t="str">
        <f aca="false">IF(OR(A384="Insumo",A384="Composição Auxiliar"),J384,"")</f>
        <v/>
      </c>
      <c r="N384" s="102" t="str">
        <f aca="false">IF(E384="Mão de Obra",J384,"")</f>
        <v/>
      </c>
      <c r="O384" s="102" t="str">
        <f aca="false">IF(N384&lt;&gt;"","",M384)</f>
        <v/>
      </c>
      <c r="P384" s="103" t="str">
        <f aca="false">IF(A384="Composição",B384,"")</f>
        <v> 88316 </v>
      </c>
      <c r="Q384" s="102" t="n">
        <f aca="false">IF(P384&lt;&gt;"",SUMIF(L384:L394,L384,N384:N394),"")</f>
        <v>12.1</v>
      </c>
      <c r="R384" s="102" t="n">
        <f aca="false">IF(P384&lt;&gt;"",SUMIF(L384:L394,L384,O384:O394),"")</f>
        <v>5.64</v>
      </c>
    </row>
    <row r="385" customFormat="false" ht="25" hidden="false" customHeight="true" outlineLevel="0" collapsed="false">
      <c r="A385" s="129" t="s">
        <v>126</v>
      </c>
      <c r="B385" s="130" t="s">
        <v>310</v>
      </c>
      <c r="C385" s="129" t="s">
        <v>122</v>
      </c>
      <c r="D385" s="129" t="s">
        <v>311</v>
      </c>
      <c r="E385" s="129" t="s">
        <v>124</v>
      </c>
      <c r="F385" s="129"/>
      <c r="G385" s="131" t="s">
        <v>125</v>
      </c>
      <c r="H385" s="132" t="n">
        <v>1</v>
      </c>
      <c r="I385" s="133" t="n">
        <f aca="false">SUMIFS(J:J,A:A,"Composição",B:B,$B385)</f>
        <v>0.2</v>
      </c>
      <c r="J385" s="133" t="n">
        <f aca="false">TRUNC(H385*I385,2)</f>
        <v>0.2</v>
      </c>
      <c r="K385" s="217"/>
      <c r="L385" s="176" t="n">
        <f aca="false">IF(AND(A386&lt;&gt;"",A385=""),L384+1,L384)</f>
        <v>45</v>
      </c>
      <c r="M385" s="101" t="n">
        <f aca="false">IF(OR(A385="Insumo",A385="Composição Auxiliar"),J385,"")</f>
        <v>0.2</v>
      </c>
      <c r="N385" s="102" t="str">
        <f aca="false">IF(E385="Mão de Obra",J385,"")</f>
        <v/>
      </c>
      <c r="O385" s="102" t="n">
        <f aca="false">IF(N385&lt;&gt;"","",M385)</f>
        <v>0.2</v>
      </c>
      <c r="P385" s="103" t="str">
        <f aca="false">IF(A385="Composição",B385,"")</f>
        <v/>
      </c>
      <c r="Q385" s="102" t="str">
        <f aca="false">IF(P385&lt;&gt;"",SUMIF(L385:L394,L385,N385:N394),"")</f>
        <v/>
      </c>
      <c r="R385" s="102" t="str">
        <f aca="false">IF(P385&lt;&gt;"",SUMIF(L385:L394,L385,O385:O394),"")</f>
        <v/>
      </c>
    </row>
    <row r="386" customFormat="false" ht="14" hidden="false" customHeight="false" outlineLevel="0" collapsed="false">
      <c r="A386" s="143" t="s">
        <v>128</v>
      </c>
      <c r="B386" s="144" t="s">
        <v>129</v>
      </c>
      <c r="C386" s="143" t="str">
        <f aca="false">VLOOKUP(B386,INSUMOS!$A:$I,2,0)</f>
        <v>SINAPI</v>
      </c>
      <c r="D386" s="143" t="str">
        <f aca="false">VLOOKUP(B386,INSUMOS!$A:$I,3,0)</f>
        <v>ALIMENTACAO - HORISTA (COLETADO CAIXA)</v>
      </c>
      <c r="E386" s="143" t="str">
        <f aca="false">VLOOKUP(B386,INSUMOS!$A:$I,4,0)</f>
        <v>Outros</v>
      </c>
      <c r="F386" s="143"/>
      <c r="G386" s="145" t="str">
        <f aca="false">VLOOKUP(B386,INSUMOS!$A:$I,5,0)</f>
        <v>H</v>
      </c>
      <c r="H386" s="146" t="n">
        <v>1</v>
      </c>
      <c r="I386" s="147" t="n">
        <f aca="false">VLOOKUP(B386,INSUMOS!$A:$I,8,0)</f>
        <v>2.11</v>
      </c>
      <c r="J386" s="147" t="n">
        <f aca="false">TRUNC(H386*I386,2)</f>
        <v>2.11</v>
      </c>
      <c r="K386" s="217"/>
      <c r="L386" s="176" t="n">
        <f aca="false">IF(AND(A387&lt;&gt;"",A386=""),L385+1,L385)</f>
        <v>45</v>
      </c>
      <c r="M386" s="101" t="n">
        <f aca="false">IF(OR(A386="Insumo",A386="Composição Auxiliar"),J386,"")</f>
        <v>2.11</v>
      </c>
      <c r="N386" s="102" t="str">
        <f aca="false">IF(E386="Mão de Obra",J386,"")</f>
        <v/>
      </c>
      <c r="O386" s="102" t="n">
        <f aca="false">IF(N386&lt;&gt;"","",M386)</f>
        <v>2.11</v>
      </c>
      <c r="P386" s="103" t="str">
        <f aca="false">IF(A386="Composição",B386,"")</f>
        <v/>
      </c>
      <c r="Q386" s="102" t="str">
        <f aca="false">IF(P386&lt;&gt;"",SUMIF(L386:L394,L386,N386:N394),"")</f>
        <v/>
      </c>
      <c r="R386" s="102" t="str">
        <f aca="false">IF(P386&lt;&gt;"",SUMIF(L386:L394,L386,O386:O394),"")</f>
        <v/>
      </c>
    </row>
    <row r="387" customFormat="false" ht="25" hidden="false" customHeight="true" outlineLevel="0" collapsed="false">
      <c r="A387" s="143" t="s">
        <v>128</v>
      </c>
      <c r="B387" s="144" t="s">
        <v>341</v>
      </c>
      <c r="C387" s="143" t="str">
        <f aca="false">VLOOKUP(B387,INSUMOS!$A:$I,2,0)</f>
        <v>SINAPI</v>
      </c>
      <c r="D387" s="143" t="str">
        <f aca="false">VLOOKUP(B387,INSUMOS!$A:$I,3,0)</f>
        <v>EPI - FAMILIA SERVENTE - HORISTA (ENCARGOS COMPLEMENTARES - COLETADO CAIXA)</v>
      </c>
      <c r="E387" s="143" t="str">
        <f aca="false">VLOOKUP(B387,INSUMOS!$A:$I,4,0)</f>
        <v>Equipamento</v>
      </c>
      <c r="F387" s="143"/>
      <c r="G387" s="145" t="str">
        <f aca="false">VLOOKUP(B387,INSUMOS!$A:$I,5,0)</f>
        <v>H</v>
      </c>
      <c r="H387" s="146" t="n">
        <v>1</v>
      </c>
      <c r="I387" s="147" t="n">
        <f aca="false">VLOOKUP(B387,INSUMOS!$A:$I,8,0)</f>
        <v>1.15</v>
      </c>
      <c r="J387" s="147" t="n">
        <f aca="false">TRUNC(H387*I387,2)</f>
        <v>1.15</v>
      </c>
      <c r="K387" s="217"/>
      <c r="L387" s="176" t="n">
        <f aca="false">IF(AND(A388&lt;&gt;"",A387=""),L386+1,L386)</f>
        <v>45</v>
      </c>
      <c r="M387" s="101" t="n">
        <f aca="false">IF(OR(A387="Insumo",A387="Composição Auxiliar"),J387,"")</f>
        <v>1.15</v>
      </c>
      <c r="N387" s="102" t="str">
        <f aca="false">IF(E387="Mão de Obra",J387,"")</f>
        <v/>
      </c>
      <c r="O387" s="102" t="n">
        <f aca="false">IF(N387&lt;&gt;"","",M387)</f>
        <v>1.15</v>
      </c>
      <c r="P387" s="103" t="str">
        <f aca="false">IF(A387="Composição",B387,"")</f>
        <v/>
      </c>
      <c r="Q387" s="102" t="str">
        <f aca="false">IF(P387&lt;&gt;"",SUMIF(L387:L394,L387,N387:N394),"")</f>
        <v/>
      </c>
      <c r="R387" s="102" t="str">
        <f aca="false">IF(P387&lt;&gt;"",SUMIF(L387:L394,L387,O387:O394),"")</f>
        <v/>
      </c>
    </row>
    <row r="388" customFormat="false" ht="37.5" hidden="false" customHeight="true" outlineLevel="0" collapsed="false">
      <c r="A388" s="143" t="s">
        <v>128</v>
      </c>
      <c r="B388" s="144" t="s">
        <v>245</v>
      </c>
      <c r="C388" s="143" t="str">
        <f aca="false">VLOOKUP(B388,INSUMOS!$A:$I,2,0)</f>
        <v>SINAPI</v>
      </c>
      <c r="D388" s="143" t="str">
        <f aca="false">VLOOKUP(B388,INSUMOS!$A:$I,3,0)</f>
        <v>EXAMES - HORISTA (COLETADO CAIXA)</v>
      </c>
      <c r="E388" s="143" t="str">
        <f aca="false">VLOOKUP(B388,INSUMOS!$A:$I,4,0)</f>
        <v>Outros</v>
      </c>
      <c r="F388" s="143"/>
      <c r="G388" s="145" t="str">
        <f aca="false">VLOOKUP(B388,INSUMOS!$A:$I,5,0)</f>
        <v>H</v>
      </c>
      <c r="H388" s="146" t="n">
        <v>1</v>
      </c>
      <c r="I388" s="147" t="n">
        <f aca="false">VLOOKUP(B388,INSUMOS!$A:$I,8,0)</f>
        <v>0.81</v>
      </c>
      <c r="J388" s="147" t="n">
        <f aca="false">TRUNC(H388*I388,2)</f>
        <v>0.81</v>
      </c>
      <c r="K388" s="217"/>
      <c r="L388" s="176" t="n">
        <f aca="false">IF(AND(A389&lt;&gt;"",A388=""),L387+1,L387)</f>
        <v>45</v>
      </c>
      <c r="M388" s="101" t="n">
        <f aca="false">IF(OR(A388="Insumo",A388="Composição Auxiliar"),J388,"")</f>
        <v>0.81</v>
      </c>
      <c r="N388" s="102" t="str">
        <f aca="false">IF(E388="Mão de Obra",J388,"")</f>
        <v/>
      </c>
      <c r="O388" s="102" t="n">
        <f aca="false">IF(N388&lt;&gt;"","",M388)</f>
        <v>0.81</v>
      </c>
      <c r="P388" s="103" t="str">
        <f aca="false">IF(A388="Composição",B388,"")</f>
        <v/>
      </c>
      <c r="Q388" s="102" t="str">
        <f aca="false">IF(P388&lt;&gt;"",SUMIF(L388:L394,L388,N388:N394),"")</f>
        <v/>
      </c>
      <c r="R388" s="102" t="str">
        <f aca="false">IF(P388&lt;&gt;"",SUMIF(L388:L394,L388,O388:O394),"")</f>
        <v/>
      </c>
    </row>
    <row r="389" customFormat="false" ht="25" hidden="false" customHeight="false" outlineLevel="0" collapsed="false">
      <c r="A389" s="143" t="s">
        <v>128</v>
      </c>
      <c r="B389" s="144" t="s">
        <v>342</v>
      </c>
      <c r="C389" s="143" t="str">
        <f aca="false">VLOOKUP(B389,INSUMOS!$A:$I,2,0)</f>
        <v>SINAPI</v>
      </c>
      <c r="D389" s="143" t="str">
        <f aca="false">VLOOKUP(B389,INSUMOS!$A:$I,3,0)</f>
        <v>FERRAMENTAS - FAMILIA SERVENTE - HORISTA (ENCARGOS COMPLEMENTARES - COLETADO CAIXA)</v>
      </c>
      <c r="E389" s="143" t="str">
        <f aca="false">VLOOKUP(B389,INSUMOS!$A:$I,4,0)</f>
        <v>Equipamento</v>
      </c>
      <c r="F389" s="143"/>
      <c r="G389" s="145" t="str">
        <f aca="false">VLOOKUP(B389,INSUMOS!$A:$I,5,0)</f>
        <v>H</v>
      </c>
      <c r="H389" s="146" t="n">
        <v>1</v>
      </c>
      <c r="I389" s="147" t="n">
        <f aca="false">VLOOKUP(B389,INSUMOS!$A:$I,8,0)</f>
        <v>0.56</v>
      </c>
      <c r="J389" s="147" t="n">
        <f aca="false">TRUNC(H389*I389,2)</f>
        <v>0.56</v>
      </c>
      <c r="K389" s="217"/>
      <c r="L389" s="176" t="n">
        <f aca="false">IF(AND(A390&lt;&gt;"",A389=""),L388+1,L388)</f>
        <v>45</v>
      </c>
      <c r="M389" s="101" t="n">
        <f aca="false">IF(OR(A389="Insumo",A389="Composição Auxiliar"),J389,"")</f>
        <v>0.56</v>
      </c>
      <c r="N389" s="102" t="str">
        <f aca="false">IF(E389="Mão de Obra",J389,"")</f>
        <v/>
      </c>
      <c r="O389" s="102" t="n">
        <f aca="false">IF(N389&lt;&gt;"","",M389)</f>
        <v>0.56</v>
      </c>
      <c r="P389" s="103" t="str">
        <f aca="false">IF(A389="Composição",B389,"")</f>
        <v/>
      </c>
      <c r="Q389" s="102" t="str">
        <f aca="false">IF(P389&lt;&gt;"",SUMIF(L389:L394,L389,N389:N394),"")</f>
        <v/>
      </c>
      <c r="R389" s="102" t="str">
        <f aca="false">IF(P389&lt;&gt;"",SUMIF(L389:L394,L389,O389:O394),"")</f>
        <v/>
      </c>
    </row>
    <row r="390" customFormat="false" ht="14" hidden="false" customHeight="false" outlineLevel="0" collapsed="false">
      <c r="A390" s="143" t="s">
        <v>128</v>
      </c>
      <c r="B390" s="144" t="s">
        <v>247</v>
      </c>
      <c r="C390" s="143" t="str">
        <f aca="false">VLOOKUP(B390,INSUMOS!$A:$I,2,0)</f>
        <v>SINAPI</v>
      </c>
      <c r="D390" s="143" t="str">
        <f aca="false">VLOOKUP(B390,INSUMOS!$A:$I,3,0)</f>
        <v>SEGURO - HORISTA (COLETADO CAIXA)</v>
      </c>
      <c r="E390" s="143" t="str">
        <f aca="false">VLOOKUP(B390,INSUMOS!$A:$I,4,0)</f>
        <v>Taxas</v>
      </c>
      <c r="F390" s="143"/>
      <c r="G390" s="145" t="str">
        <f aca="false">VLOOKUP(B390,INSUMOS!$A:$I,5,0)</f>
        <v>H</v>
      </c>
      <c r="H390" s="146" t="n">
        <v>1</v>
      </c>
      <c r="I390" s="147" t="n">
        <f aca="false">VLOOKUP(B390,INSUMOS!$A:$I,8,0)</f>
        <v>0.06</v>
      </c>
      <c r="J390" s="147" t="n">
        <f aca="false">TRUNC(H390*I390,2)</f>
        <v>0.06</v>
      </c>
      <c r="K390" s="217"/>
      <c r="L390" s="176" t="n">
        <f aca="false">IF(AND(A391&lt;&gt;"",A390=""),L389+1,L389)</f>
        <v>45</v>
      </c>
      <c r="M390" s="101" t="n">
        <f aca="false">IF(OR(A390="Insumo",A390="Composição Auxiliar"),J390,"")</f>
        <v>0.06</v>
      </c>
      <c r="N390" s="102" t="str">
        <f aca="false">IF(E390="Mão de Obra",J390,"")</f>
        <v/>
      </c>
      <c r="O390" s="102" t="n">
        <f aca="false">IF(N390&lt;&gt;"","",M390)</f>
        <v>0.06</v>
      </c>
      <c r="P390" s="103" t="str">
        <f aca="false">IF(A390="Composição",B390,"")</f>
        <v/>
      </c>
      <c r="Q390" s="102" t="str">
        <f aca="false">IF(P390&lt;&gt;"",SUMIF(L390:L394,L390,N390:N394),"")</f>
        <v/>
      </c>
      <c r="R390" s="102" t="str">
        <f aca="false">IF(P390&lt;&gt;"",SUMIF(L390:L394,L390,O390:O394),"")</f>
        <v/>
      </c>
    </row>
    <row r="391" customFormat="false" ht="14" hidden="false" customHeight="false" outlineLevel="0" collapsed="false">
      <c r="A391" s="143" t="s">
        <v>128</v>
      </c>
      <c r="B391" s="144" t="s">
        <v>312</v>
      </c>
      <c r="C391" s="143" t="str">
        <f aca="false">VLOOKUP(B391,INSUMOS!$A:$I,2,0)</f>
        <v>SINAPI</v>
      </c>
      <c r="D391" s="143" t="str">
        <f aca="false">VLOOKUP(B391,INSUMOS!$A:$I,3,0)</f>
        <v>SERVENTE DE OBRAS</v>
      </c>
      <c r="E391" s="143" t="str">
        <f aca="false">VLOOKUP(B391,INSUMOS!$A:$I,4,0)</f>
        <v>Mão de Obra</v>
      </c>
      <c r="F391" s="143"/>
      <c r="G391" s="145" t="str">
        <f aca="false">VLOOKUP(B391,INSUMOS!$A:$I,5,0)</f>
        <v>H</v>
      </c>
      <c r="H391" s="146" t="n">
        <v>1</v>
      </c>
      <c r="I391" s="147" t="n">
        <f aca="false">VLOOKUP(B391,INSUMOS!$A:$I,8,0)</f>
        <v>12.1</v>
      </c>
      <c r="J391" s="147" t="n">
        <f aca="false">TRUNC(H391*I391,2)</f>
        <v>12.1</v>
      </c>
      <c r="K391" s="217"/>
      <c r="L391" s="176" t="n">
        <f aca="false">IF(AND(A392&lt;&gt;"",A391=""),L390+1,L390)</f>
        <v>45</v>
      </c>
      <c r="M391" s="101" t="n">
        <f aca="false">IF(OR(A391="Insumo",A391="Composição Auxiliar"),J391,"")</f>
        <v>12.1</v>
      </c>
      <c r="N391" s="102" t="n">
        <f aca="false">IF(E391="Mão de Obra",J391,"")</f>
        <v>12.1</v>
      </c>
      <c r="O391" s="102" t="str">
        <f aca="false">IF(N391&lt;&gt;"","",M391)</f>
        <v/>
      </c>
      <c r="P391" s="103" t="str">
        <f aca="false">IF(A391="Composição",B391,"")</f>
        <v/>
      </c>
      <c r="Q391" s="102" t="str">
        <f aca="false">IF(P391&lt;&gt;"",SUMIF(L391:L395,L391,N391:N395),"")</f>
        <v/>
      </c>
      <c r="R391" s="102" t="str">
        <f aca="false">IF(P391&lt;&gt;"",SUMIF(L391:L395,L391,O391:O395),"")</f>
        <v/>
      </c>
    </row>
    <row r="392" customFormat="false" ht="14" hidden="false" customHeight="false" outlineLevel="0" collapsed="false">
      <c r="A392" s="143" t="s">
        <v>128</v>
      </c>
      <c r="B392" s="144" t="s">
        <v>255</v>
      </c>
      <c r="C392" s="143" t="str">
        <f aca="false">VLOOKUP(B392,INSUMOS!$A:$I,2,0)</f>
        <v>SINAPI</v>
      </c>
      <c r="D392" s="143" t="str">
        <f aca="false">VLOOKUP(B392,INSUMOS!$A:$I,3,0)</f>
        <v>TRANSPORTE - HORISTA (COLETADO CAIXA)</v>
      </c>
      <c r="E392" s="143" t="str">
        <f aca="false">VLOOKUP(B392,INSUMOS!$A:$I,4,0)</f>
        <v>Serviços</v>
      </c>
      <c r="F392" s="143"/>
      <c r="G392" s="145" t="str">
        <f aca="false">VLOOKUP(B392,INSUMOS!$A:$I,5,0)</f>
        <v>H</v>
      </c>
      <c r="H392" s="146" t="n">
        <v>1</v>
      </c>
      <c r="I392" s="147" t="n">
        <f aca="false">VLOOKUP(B392,INSUMOS!$A:$I,8,0)</f>
        <v>0.75</v>
      </c>
      <c r="J392" s="147" t="n">
        <f aca="false">TRUNC(H392*I392,2)</f>
        <v>0.75</v>
      </c>
      <c r="K392" s="217"/>
      <c r="L392" s="176" t="n">
        <f aca="false">IF(AND(A393&lt;&gt;"",A392=""),L391+1,L391)</f>
        <v>45</v>
      </c>
      <c r="M392" s="101" t="n">
        <f aca="false">IF(OR(A392="Insumo",A392="Composição Auxiliar"),J392,"")</f>
        <v>0.75</v>
      </c>
      <c r="N392" s="102" t="str">
        <f aca="false">IF(E392="Mão de Obra",J392,"")</f>
        <v/>
      </c>
      <c r="O392" s="102" t="n">
        <f aca="false">IF(N392&lt;&gt;"","",M392)</f>
        <v>0.75</v>
      </c>
      <c r="P392" s="103" t="str">
        <f aca="false">IF(A392="Composição",B392,"")</f>
        <v/>
      </c>
      <c r="Q392" s="102" t="str">
        <f aca="false">IF(P392&lt;&gt;"",SUMIF(L392:L396,L392,N392:N396),"")</f>
        <v/>
      </c>
      <c r="R392" s="102" t="str">
        <f aca="false">IF(P392&lt;&gt;"",SUMIF(L392:L396,L392,O392:O396),"")</f>
        <v/>
      </c>
    </row>
    <row r="393" customFormat="false" ht="37.5" hidden="false" customHeight="true" outlineLevel="0" collapsed="false">
      <c r="A393" s="149"/>
      <c r="B393" s="149"/>
      <c r="C393" s="149"/>
      <c r="D393" s="149"/>
      <c r="E393" s="149"/>
      <c r="F393" s="150"/>
      <c r="G393" s="149"/>
      <c r="H393" s="150"/>
      <c r="I393" s="149"/>
      <c r="J393" s="150"/>
      <c r="K393" s="217"/>
      <c r="L393" s="176" t="n">
        <f aca="false">IF(AND(A394&lt;&gt;"",A393=""),L392+1,L392)</f>
        <v>45</v>
      </c>
      <c r="M393" s="101" t="str">
        <f aca="false">IF(OR(A393="Insumo",A393="Composição Auxiliar"),J393,"")</f>
        <v/>
      </c>
      <c r="N393" s="102" t="str">
        <f aca="false">IF(E393="Mão de Obra",J393,"")</f>
        <v/>
      </c>
      <c r="O393" s="102" t="str">
        <f aca="false">IF(N393&lt;&gt;"","",M393)</f>
        <v/>
      </c>
      <c r="P393" s="103" t="str">
        <f aca="false">IF(A393="Composição",B393,"")</f>
        <v/>
      </c>
      <c r="Q393" s="102" t="str">
        <f aca="false">IF(P393&lt;&gt;"",SUMIF(L393:L397,L393,N393:N397),"")</f>
        <v/>
      </c>
      <c r="R393" s="102" t="str">
        <f aca="false">IF(P393&lt;&gt;"",SUMIF(L393:L397,L393,O393:O397),"")</f>
        <v/>
      </c>
    </row>
    <row r="394" customFormat="false" ht="25" hidden="false" customHeight="true" outlineLevel="0" collapsed="false">
      <c r="A394" s="149"/>
      <c r="B394" s="149"/>
      <c r="C394" s="149"/>
      <c r="D394" s="149"/>
      <c r="E394" s="149"/>
      <c r="F394" s="150"/>
      <c r="G394" s="149"/>
      <c r="H394" s="151"/>
      <c r="I394" s="151"/>
      <c r="J394" s="150"/>
      <c r="K394" s="217"/>
      <c r="L394" s="176" t="n">
        <f aca="false">IF(AND(A395&lt;&gt;"",A394=""),L393+1,L393)</f>
        <v>45</v>
      </c>
      <c r="M394" s="101" t="str">
        <f aca="false">IF(OR(A394="Insumo",A394="Composição Auxiliar"),J394,"")</f>
        <v/>
      </c>
      <c r="N394" s="102" t="str">
        <f aca="false">IF(E394="Mão de Obra",J394,"")</f>
        <v/>
      </c>
      <c r="O394" s="102" t="str">
        <f aca="false">IF(N394&lt;&gt;"","",M394)</f>
        <v/>
      </c>
      <c r="P394" s="103" t="str">
        <f aca="false">IF(A394="Composição",B394,"")</f>
        <v/>
      </c>
      <c r="Q394" s="102" t="str">
        <f aca="false">IF(P394&lt;&gt;"",SUMIF(L394:L398,L394,N394:N398),"")</f>
        <v/>
      </c>
      <c r="R394" s="102" t="str">
        <f aca="false">IF(P394&lt;&gt;"",SUMIF(L394:L398,L394,O394:O398),"")</f>
        <v/>
      </c>
    </row>
    <row r="395" customFormat="false" ht="14.5" hidden="false" customHeight="false" outlineLevel="0" collapsed="false">
      <c r="A395" s="155"/>
      <c r="B395" s="155"/>
      <c r="C395" s="155"/>
      <c r="D395" s="155"/>
      <c r="E395" s="155"/>
      <c r="F395" s="155"/>
      <c r="G395" s="155"/>
      <c r="H395" s="155"/>
      <c r="I395" s="155"/>
      <c r="J395" s="155"/>
      <c r="L395" s="176" t="n">
        <f aca="false">IF(AND(A396&lt;&gt;"",A395=""),L394+1,L394)</f>
        <v>45</v>
      </c>
      <c r="M395" s="101" t="str">
        <f aca="false">IF(OR(A395="Insumo",A395="Composição Auxiliar"),J395,"")</f>
        <v/>
      </c>
      <c r="N395" s="102" t="str">
        <f aca="false">IF(E395="Mão de Obra",J395,"")</f>
        <v/>
      </c>
      <c r="O395" s="102" t="str">
        <f aca="false">IF(N395&lt;&gt;"","",M395)</f>
        <v/>
      </c>
      <c r="P395" s="103" t="str">
        <f aca="false">IF(A395="Composição",B395,"")</f>
        <v/>
      </c>
      <c r="Q395" s="102" t="str">
        <f aca="false">IF(P395&lt;&gt;"",SUMIF(L395:L399,L395,N395:N399),"")</f>
        <v/>
      </c>
      <c r="R395" s="102" t="str">
        <f aca="false">IF(P395&lt;&gt;"",SUMIF(L395:L399,L395,O395:O399),"")</f>
        <v/>
      </c>
    </row>
    <row r="396" customFormat="false" ht="14" hidden="false" customHeight="true" outlineLevel="0" collapsed="false">
      <c r="A396" s="118"/>
      <c r="B396" s="119" t="s">
        <v>115</v>
      </c>
      <c r="C396" s="118" t="s">
        <v>116</v>
      </c>
      <c r="D396" s="118" t="s">
        <v>117</v>
      </c>
      <c r="E396" s="118" t="s">
        <v>118</v>
      </c>
      <c r="F396" s="118"/>
      <c r="G396" s="120" t="s">
        <v>119</v>
      </c>
      <c r="H396" s="119" t="s">
        <v>120</v>
      </c>
      <c r="I396" s="119" t="s">
        <v>130</v>
      </c>
      <c r="J396" s="119" t="s">
        <v>131</v>
      </c>
      <c r="K396" s="217"/>
      <c r="L396" s="176" t="n">
        <f aca="false">IF(AND(A397&lt;&gt;"",A396=""),L395+1,L395)</f>
        <v>46</v>
      </c>
      <c r="M396" s="101" t="str">
        <f aca="false">IF(OR(A396="Insumo",A396="Composição Auxiliar"),J396,"")</f>
        <v/>
      </c>
      <c r="N396" s="102" t="str">
        <f aca="false">IF(E396="Mão de Obra",J396,"")</f>
        <v/>
      </c>
      <c r="O396" s="102" t="str">
        <f aca="false">IF(N396&lt;&gt;"","",M396)</f>
        <v/>
      </c>
      <c r="P396" s="103" t="str">
        <f aca="false">IF(A396="Composição",B396,"")</f>
        <v/>
      </c>
      <c r="Q396" s="102" t="str">
        <f aca="false">IF(P396&lt;&gt;"",SUMIF(L396:L400,L396,N396:N400),"")</f>
        <v/>
      </c>
      <c r="R396" s="102" t="str">
        <f aca="false">IF(P396&lt;&gt;"",SUMIF(L396:L400,L396,O396:O400),"")</f>
        <v/>
      </c>
    </row>
    <row r="397" customFormat="false" ht="14" hidden="false" customHeight="true" outlineLevel="0" collapsed="false">
      <c r="A397" s="122" t="s">
        <v>121</v>
      </c>
      <c r="B397" s="55" t="s">
        <v>98</v>
      </c>
      <c r="C397" s="122" t="s">
        <v>122</v>
      </c>
      <c r="D397" s="122" t="s">
        <v>172</v>
      </c>
      <c r="E397" s="122" t="s">
        <v>124</v>
      </c>
      <c r="F397" s="122"/>
      <c r="G397" s="123" t="s">
        <v>125</v>
      </c>
      <c r="H397" s="124" t="n">
        <v>1</v>
      </c>
      <c r="I397" s="125" t="n">
        <f aca="false">SUMIF(L:L,$L397,M:M)</f>
        <v>111.28</v>
      </c>
      <c r="J397" s="125" t="n">
        <f aca="false">TRUNC(H397*I397,2)</f>
        <v>111.28</v>
      </c>
      <c r="L397" s="176" t="n">
        <f aca="false">IF(AND(A398&lt;&gt;"",A397=""),L396+1,L396)</f>
        <v>46</v>
      </c>
      <c r="M397" s="101" t="str">
        <f aca="false">IF(OR(A397="Insumo",A397="Composição Auxiliar"),J397,"")</f>
        <v/>
      </c>
      <c r="N397" s="102" t="str">
        <f aca="false">IF(E397="Mão de Obra",J397,"")</f>
        <v/>
      </c>
      <c r="O397" s="102" t="str">
        <f aca="false">IF(N397&lt;&gt;"","",M397)</f>
        <v/>
      </c>
      <c r="P397" s="103" t="str">
        <f aca="false">IF(A397="Composição",B397,"")</f>
        <v> 91677 </v>
      </c>
      <c r="Q397" s="102" t="n">
        <f aca="false">IF(P397&lt;&gt;"",SUMIF(L397:L401,L397,N397:N401),"")</f>
        <v>106.8</v>
      </c>
      <c r="R397" s="102" t="n">
        <f aca="false">IF(P397&lt;&gt;"",SUMIF(L397:L401,L397,O397:O401),"")</f>
        <v>4.41</v>
      </c>
    </row>
    <row r="398" customFormat="false" ht="25" hidden="false" customHeight="true" outlineLevel="0" collapsed="false">
      <c r="A398" s="129" t="s">
        <v>126</v>
      </c>
      <c r="B398" s="130" t="s">
        <v>241</v>
      </c>
      <c r="C398" s="129" t="s">
        <v>122</v>
      </c>
      <c r="D398" s="129" t="s">
        <v>242</v>
      </c>
      <c r="E398" s="129" t="s">
        <v>124</v>
      </c>
      <c r="F398" s="129"/>
      <c r="G398" s="131" t="s">
        <v>125</v>
      </c>
      <c r="H398" s="132" t="n">
        <v>1</v>
      </c>
      <c r="I398" s="133" t="n">
        <f aca="false">SUMIFS(J:J,A:A,"Composição",B:B,$B398)</f>
        <v>2.94</v>
      </c>
      <c r="J398" s="133" t="n">
        <f aca="false">TRUNC(H398*I398,2)</f>
        <v>2.94</v>
      </c>
      <c r="L398" s="176" t="n">
        <f aca="false">IF(AND(A399&lt;&gt;"",A398=""),L397+1,L397)</f>
        <v>46</v>
      </c>
      <c r="M398" s="101" t="n">
        <f aca="false">IF(OR(A398="Insumo",A398="Composição Auxiliar"),J398,"")</f>
        <v>2.94</v>
      </c>
      <c r="N398" s="102" t="str">
        <f aca="false">IF(E398="Mão de Obra",J398,"")</f>
        <v/>
      </c>
      <c r="O398" s="102" t="n">
        <f aca="false">IF(N398&lt;&gt;"","",M398)</f>
        <v>2.94</v>
      </c>
      <c r="P398" s="103" t="str">
        <f aca="false">IF(A398="Composição",B398,"")</f>
        <v/>
      </c>
      <c r="Q398" s="102" t="str">
        <f aca="false">IF(P398&lt;&gt;"",SUMIF(L398:L402,L398,N398:N402),"")</f>
        <v/>
      </c>
      <c r="R398" s="102" t="str">
        <f aca="false">IF(P398&lt;&gt;"",SUMIF(L398:L402,L398,O398:O402),"")</f>
        <v/>
      </c>
    </row>
    <row r="399" customFormat="false" ht="14" hidden="false" customHeight="false" outlineLevel="0" collapsed="false">
      <c r="A399" s="143" t="s">
        <v>128</v>
      </c>
      <c r="B399" s="144" t="s">
        <v>243</v>
      </c>
      <c r="C399" s="143" t="str">
        <f aca="false">VLOOKUP(B399,INSUMOS!$A:$I,2,0)</f>
        <v>SINAPI</v>
      </c>
      <c r="D399" s="143" t="str">
        <f aca="false">VLOOKUP(B399,INSUMOS!$A:$I,3,0)</f>
        <v>ENGENHEIRO ELETRICISTA</v>
      </c>
      <c r="E399" s="143" t="str">
        <f aca="false">VLOOKUP(B399,INSUMOS!$A:$I,4,0)</f>
        <v>Mão de Obra</v>
      </c>
      <c r="F399" s="143"/>
      <c r="G399" s="145" t="str">
        <f aca="false">VLOOKUP(B399,INSUMOS!$A:$I,5,0)</f>
        <v>H</v>
      </c>
      <c r="H399" s="146" t="n">
        <v>1</v>
      </c>
      <c r="I399" s="147" t="n">
        <f aca="false">VLOOKUP(B399,INSUMOS!$A:$I,8,0)</f>
        <v>106.8</v>
      </c>
      <c r="J399" s="147" t="n">
        <f aca="false">TRUNC(H399*I399,2)</f>
        <v>106.8</v>
      </c>
      <c r="L399" s="176" t="n">
        <f aca="false">IF(AND(A400&lt;&gt;"",A399=""),L398+1,L398)</f>
        <v>46</v>
      </c>
      <c r="M399" s="101" t="n">
        <f aca="false">IF(OR(A399="Insumo",A399="Composição Auxiliar"),J399,"")</f>
        <v>106.8</v>
      </c>
      <c r="N399" s="102" t="n">
        <f aca="false">IF(E399="Mão de Obra",J399,"")</f>
        <v>106.8</v>
      </c>
      <c r="O399" s="102" t="str">
        <f aca="false">IF(N399&lt;&gt;"","",M399)</f>
        <v/>
      </c>
      <c r="P399" s="103" t="str">
        <f aca="false">IF(A399="Composição",B399,"")</f>
        <v/>
      </c>
      <c r="Q399" s="102" t="str">
        <f aca="false">IF(P399&lt;&gt;"",SUMIF(L399:L403,L399,N399:N403),"")</f>
        <v/>
      </c>
      <c r="R399" s="102" t="str">
        <f aca="false">IF(P399&lt;&gt;"",SUMIF(L399:L403,L399,O399:O403),"")</f>
        <v/>
      </c>
    </row>
    <row r="400" customFormat="false" ht="25" hidden="false" customHeight="false" outlineLevel="0" collapsed="false">
      <c r="A400" s="143" t="s">
        <v>128</v>
      </c>
      <c r="B400" s="144" t="s">
        <v>244</v>
      </c>
      <c r="C400" s="143" t="str">
        <f aca="false">VLOOKUP(B400,INSUMOS!$A:$I,2,0)</f>
        <v>SINAPI</v>
      </c>
      <c r="D400" s="143" t="str">
        <f aca="false">VLOOKUP(B400,INSUMOS!$A:$I,3,0)</f>
        <v>EPI - FAMILIA ENGENHEIRO CIVIL - HORISTA (ENCARGOS COMPLEMENTARES - COLETADO CAIXA)</v>
      </c>
      <c r="E400" s="143" t="str">
        <f aca="false">VLOOKUP(B400,INSUMOS!$A:$I,4,0)</f>
        <v>Equipamento</v>
      </c>
      <c r="F400" s="143"/>
      <c r="G400" s="145" t="str">
        <f aca="false">VLOOKUP(B400,INSUMOS!$A:$I,5,0)</f>
        <v>H</v>
      </c>
      <c r="H400" s="146" t="n">
        <v>1</v>
      </c>
      <c r="I400" s="147" t="n">
        <f aca="false">VLOOKUP(B400,INSUMOS!$A:$I,8,0)</f>
        <v>0.66</v>
      </c>
      <c r="J400" s="147" t="n">
        <f aca="false">TRUNC(H400*I400,2)</f>
        <v>0.66</v>
      </c>
      <c r="L400" s="176" t="n">
        <f aca="false">IF(AND(A401&lt;&gt;"",A400=""),L399+1,L399)</f>
        <v>46</v>
      </c>
      <c r="M400" s="101" t="n">
        <f aca="false">IF(OR(A400="Insumo",A400="Composição Auxiliar"),J400,"")</f>
        <v>0.66</v>
      </c>
      <c r="N400" s="102" t="str">
        <f aca="false">IF(E400="Mão de Obra",J400,"")</f>
        <v/>
      </c>
      <c r="O400" s="102" t="n">
        <f aca="false">IF(N400&lt;&gt;"","",M400)</f>
        <v>0.66</v>
      </c>
      <c r="P400" s="103" t="str">
        <f aca="false">IF(A400="Composição",B400,"")</f>
        <v/>
      </c>
      <c r="Q400" s="102" t="str">
        <f aca="false">IF(P400&lt;&gt;"",SUMIF(L400:L404,L400,N400:N404),"")</f>
        <v/>
      </c>
      <c r="R400" s="102" t="str">
        <f aca="false">IF(P400&lt;&gt;"",SUMIF(L400:L404,L400,O400:O404),"")</f>
        <v/>
      </c>
    </row>
    <row r="401" customFormat="false" ht="14" hidden="false" customHeight="false" outlineLevel="0" collapsed="false">
      <c r="A401" s="143" t="s">
        <v>128</v>
      </c>
      <c r="B401" s="144" t="s">
        <v>245</v>
      </c>
      <c r="C401" s="143" t="str">
        <f aca="false">VLOOKUP(B401,INSUMOS!$A:$I,2,0)</f>
        <v>SINAPI</v>
      </c>
      <c r="D401" s="143" t="str">
        <f aca="false">VLOOKUP(B401,INSUMOS!$A:$I,3,0)</f>
        <v>EXAMES - HORISTA (COLETADO CAIXA)</v>
      </c>
      <c r="E401" s="143" t="str">
        <f aca="false">VLOOKUP(B401,INSUMOS!$A:$I,4,0)</f>
        <v>Outros</v>
      </c>
      <c r="F401" s="143"/>
      <c r="G401" s="145" t="str">
        <f aca="false">VLOOKUP(B401,INSUMOS!$A:$I,5,0)</f>
        <v>H</v>
      </c>
      <c r="H401" s="146" t="n">
        <v>1</v>
      </c>
      <c r="I401" s="147" t="n">
        <f aca="false">VLOOKUP(B401,INSUMOS!$A:$I,8,0)</f>
        <v>0.81</v>
      </c>
      <c r="J401" s="147" t="n">
        <f aca="false">TRUNC(H401*I401,2)</f>
        <v>0.81</v>
      </c>
      <c r="L401" s="176" t="n">
        <f aca="false">IF(AND(A402&lt;&gt;"",A401=""),L400+1,L400)</f>
        <v>46</v>
      </c>
      <c r="M401" s="101" t="n">
        <f aca="false">IF(OR(A401="Insumo",A401="Composição Auxiliar"),J401,"")</f>
        <v>0.81</v>
      </c>
      <c r="N401" s="102" t="str">
        <f aca="false">IF(E401="Mão de Obra",J401,"")</f>
        <v/>
      </c>
      <c r="O401" s="102" t="n">
        <f aca="false">IF(N401&lt;&gt;"","",M401)</f>
        <v>0.81</v>
      </c>
      <c r="P401" s="103" t="str">
        <f aca="false">IF(A401="Composição",B401,"")</f>
        <v/>
      </c>
      <c r="Q401" s="102" t="str">
        <f aca="false">IF(P401&lt;&gt;"",SUMIF(L401:L405,L401,N401:N405),"")</f>
        <v/>
      </c>
      <c r="R401" s="102" t="str">
        <f aca="false">IF(P401&lt;&gt;"",SUMIF(L401:L405,L401,O401:O405),"")</f>
        <v/>
      </c>
    </row>
    <row r="402" customFormat="false" ht="25" hidden="false" customHeight="false" outlineLevel="0" collapsed="false">
      <c r="A402" s="143" t="s">
        <v>128</v>
      </c>
      <c r="B402" s="144" t="s">
        <v>246</v>
      </c>
      <c r="C402" s="143" t="str">
        <f aca="false">VLOOKUP(B402,INSUMOS!$A:$I,2,0)</f>
        <v>SINAPI</v>
      </c>
      <c r="D402" s="143" t="str">
        <f aca="false">VLOOKUP(B402,INSUMOS!$A:$I,3,0)</f>
        <v>FERRAMENTAS - FAMILIA ENGENHEIRO CIVIL - HORISTA (ENCARGOS COMPLEMENTARES - COLETADO CAIXA)</v>
      </c>
      <c r="E402" s="143" t="str">
        <f aca="false">VLOOKUP(B402,INSUMOS!$A:$I,4,0)</f>
        <v>Equipamento</v>
      </c>
      <c r="F402" s="143"/>
      <c r="G402" s="145" t="str">
        <f aca="false">VLOOKUP(B402,INSUMOS!$A:$I,5,0)</f>
        <v>H</v>
      </c>
      <c r="H402" s="146" t="n">
        <v>1</v>
      </c>
      <c r="I402" s="147" t="n">
        <f aca="false">VLOOKUP(B402,INSUMOS!$A:$I,8,0)</f>
        <v>0.01</v>
      </c>
      <c r="J402" s="147" t="n">
        <f aca="false">TRUNC(H402*I402,2)</f>
        <v>0.01</v>
      </c>
      <c r="L402" s="176" t="n">
        <f aca="false">IF(AND(A403&lt;&gt;"",A402=""),L401+1,L401)</f>
        <v>46</v>
      </c>
      <c r="M402" s="101" t="n">
        <f aca="false">IF(OR(A402="Insumo",A402="Composição Auxiliar"),J402,"")</f>
        <v>0.01</v>
      </c>
      <c r="N402" s="102" t="str">
        <f aca="false">IF(E402="Mão de Obra",J402,"")</f>
        <v/>
      </c>
      <c r="O402" s="102" t="n">
        <f aca="false">IF(N402&lt;&gt;"","",M402)</f>
        <v>0.01</v>
      </c>
      <c r="P402" s="103" t="str">
        <f aca="false">IF(A402="Composição",B402,"")</f>
        <v/>
      </c>
      <c r="Q402" s="102" t="str">
        <f aca="false">IF(P402&lt;&gt;"",SUMIF(L402:L406,L402,N402:N406),"")</f>
        <v/>
      </c>
      <c r="R402" s="102" t="str">
        <f aca="false">IF(P402&lt;&gt;"",SUMIF(L402:L406,L402,O402:O406),"")</f>
        <v/>
      </c>
    </row>
    <row r="403" customFormat="false" ht="14" hidden="false" customHeight="false" outlineLevel="0" collapsed="false">
      <c r="A403" s="143" t="s">
        <v>128</v>
      </c>
      <c r="B403" s="144" t="s">
        <v>247</v>
      </c>
      <c r="C403" s="143" t="str">
        <f aca="false">VLOOKUP(B403,INSUMOS!$A:$I,2,0)</f>
        <v>SINAPI</v>
      </c>
      <c r="D403" s="143" t="str">
        <f aca="false">VLOOKUP(B403,INSUMOS!$A:$I,3,0)</f>
        <v>SEGURO - HORISTA (COLETADO CAIXA)</v>
      </c>
      <c r="E403" s="143" t="str">
        <f aca="false">VLOOKUP(B403,INSUMOS!$A:$I,4,0)</f>
        <v>Taxas</v>
      </c>
      <c r="F403" s="143"/>
      <c r="G403" s="145" t="str">
        <f aca="false">VLOOKUP(B403,INSUMOS!$A:$I,5,0)</f>
        <v>H</v>
      </c>
      <c r="H403" s="146" t="n">
        <v>1</v>
      </c>
      <c r="I403" s="147" t="n">
        <f aca="false">VLOOKUP(B403,INSUMOS!$A:$I,8,0)</f>
        <v>0.06</v>
      </c>
      <c r="J403" s="147" t="n">
        <f aca="false">TRUNC(H403*I403,2)</f>
        <v>0.06</v>
      </c>
      <c r="L403" s="176" t="n">
        <f aca="false">IF(AND(A404&lt;&gt;"",A403=""),L402+1,L402)</f>
        <v>46</v>
      </c>
      <c r="M403" s="101" t="n">
        <f aca="false">IF(OR(A403="Insumo",A403="Composição Auxiliar"),J403,"")</f>
        <v>0.06</v>
      </c>
      <c r="N403" s="102" t="str">
        <f aca="false">IF(E403="Mão de Obra",J403,"")</f>
        <v/>
      </c>
      <c r="O403" s="102" t="n">
        <f aca="false">IF(N403&lt;&gt;"","",M403)</f>
        <v>0.06</v>
      </c>
      <c r="P403" s="103" t="str">
        <f aca="false">IF(A403="Composição",B403,"")</f>
        <v/>
      </c>
      <c r="Q403" s="102" t="str">
        <f aca="false">IF(P403&lt;&gt;"",SUMIF(L403:L407,L403,N403:N407),"")</f>
        <v/>
      </c>
      <c r="R403" s="102" t="str">
        <f aca="false">IF(P403&lt;&gt;"",SUMIF(L403:L407,L403,O403:O407),"")</f>
        <v/>
      </c>
    </row>
    <row r="404" customFormat="false" ht="14" hidden="false" customHeight="false" outlineLevel="0" collapsed="false">
      <c r="L404" s="176" t="n">
        <f aca="false">IF(AND(A405&lt;&gt;"",A404=""),L403+1,L403)</f>
        <v>46</v>
      </c>
      <c r="M404" s="101" t="str">
        <f aca="false">IF(OR(A404="Insumo",A404="Composição Auxiliar"),J404,"")</f>
        <v/>
      </c>
      <c r="N404" s="102" t="str">
        <f aca="false">IF(E404="Mão de Obra",J404,"")</f>
        <v/>
      </c>
      <c r="O404" s="102" t="str">
        <f aca="false">IF(N404&lt;&gt;"","",M404)</f>
        <v/>
      </c>
      <c r="P404" s="103" t="str">
        <f aca="false">IF(A404="Composição",B404,"")</f>
        <v/>
      </c>
      <c r="Q404" s="102" t="str">
        <f aca="false">IF(P404&lt;&gt;"",SUMIF(L404:L408,L404,N404:N408),"")</f>
        <v/>
      </c>
      <c r="R404" s="102" t="str">
        <f aca="false">IF(P404&lt;&gt;"",SUMIF(L404:L408,L404,O404:O408),"")</f>
        <v/>
      </c>
    </row>
    <row r="405" customFormat="false" ht="14" hidden="false" customHeight="false" outlineLevel="0" collapsed="false">
      <c r="L405" s="176" t="n">
        <f aca="false">IF(AND(A406&lt;&gt;"",A405=""),L404+1,L404)</f>
        <v>46</v>
      </c>
      <c r="M405" s="101" t="str">
        <f aca="false">IF(OR(A405="Insumo",A405="Composição Auxiliar"),J405,"")</f>
        <v/>
      </c>
      <c r="N405" s="102" t="str">
        <f aca="false">IF(E405="Mão de Obra",J405,"")</f>
        <v/>
      </c>
      <c r="O405" s="102" t="str">
        <f aca="false">IF(N405&lt;&gt;"","",M405)</f>
        <v/>
      </c>
      <c r="P405" s="103" t="str">
        <f aca="false">IF(A405="Composição",B405,"")</f>
        <v/>
      </c>
      <c r="Q405" s="102" t="str">
        <f aca="false">IF(P405&lt;&gt;"",SUMIF(L405:L409,L405,N405:N409),"")</f>
        <v/>
      </c>
      <c r="R405" s="102" t="str">
        <f aca="false">IF(P405&lt;&gt;"",SUMIF(L405:L409,L405,O405:O409),"")</f>
        <v/>
      </c>
    </row>
  </sheetData>
  <sheetProtection sheet="true" objects="true" scenarios="true"/>
  <protectedRanges>
    <protectedRange name="Intervalo1" sqref="H404:H1048576 H1:H396"/>
    <protectedRange name="Intervalo1_1" sqref="H397:H403"/>
  </protectedRanges>
  <mergeCells count="320">
    <mergeCell ref="A1:J1"/>
    <mergeCell ref="P1:Q1"/>
    <mergeCell ref="W1:X1"/>
    <mergeCell ref="A2:J2"/>
    <mergeCell ref="A3:J3"/>
    <mergeCell ref="P3:Q3"/>
    <mergeCell ref="A4:J4"/>
    <mergeCell ref="A5:J5"/>
    <mergeCell ref="P5:Q5"/>
    <mergeCell ref="A6:J6"/>
    <mergeCell ref="E8:I8"/>
    <mergeCell ref="E9:I9"/>
    <mergeCell ref="E10:I10"/>
    <mergeCell ref="A11:J11"/>
    <mergeCell ref="E12:F12"/>
    <mergeCell ref="A13:J13"/>
    <mergeCell ref="E14:F14"/>
    <mergeCell ref="E15:F15"/>
    <mergeCell ref="X15:Y15"/>
    <mergeCell ref="E16:F16"/>
    <mergeCell ref="X16:Y16"/>
    <mergeCell ref="E17:F17"/>
    <mergeCell ref="X17:Y17"/>
    <mergeCell ref="E18:F18"/>
    <mergeCell ref="X18:Y18"/>
    <mergeCell ref="E19:F19"/>
    <mergeCell ref="E20:F20"/>
    <mergeCell ref="E21:F21"/>
    <mergeCell ref="E22:F22"/>
    <mergeCell ref="E23:F23"/>
    <mergeCell ref="H25:I25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H38:I38"/>
    <mergeCell ref="E40:F40"/>
    <mergeCell ref="E41:F41"/>
    <mergeCell ref="E42:F42"/>
    <mergeCell ref="E43:F43"/>
    <mergeCell ref="H45:I45"/>
    <mergeCell ref="E47:F47"/>
    <mergeCell ref="E48:F48"/>
    <mergeCell ref="E49:F49"/>
    <mergeCell ref="E50:F50"/>
    <mergeCell ref="E51:F51"/>
    <mergeCell ref="E52:F52"/>
    <mergeCell ref="H54:I54"/>
    <mergeCell ref="E56:F56"/>
    <mergeCell ref="E57:F57"/>
    <mergeCell ref="E58:F58"/>
    <mergeCell ref="H60:I60"/>
    <mergeCell ref="E62:F62"/>
    <mergeCell ref="E63:F63"/>
    <mergeCell ref="E64:F64"/>
    <mergeCell ref="H66:I66"/>
    <mergeCell ref="E68:F68"/>
    <mergeCell ref="E69:F69"/>
    <mergeCell ref="E70:F70"/>
    <mergeCell ref="H72:I72"/>
    <mergeCell ref="E74:F74"/>
    <mergeCell ref="E75:F75"/>
    <mergeCell ref="E76:F76"/>
    <mergeCell ref="H78:I78"/>
    <mergeCell ref="E80:F80"/>
    <mergeCell ref="E81:F81"/>
    <mergeCell ref="E82:F82"/>
    <mergeCell ref="E83:F83"/>
    <mergeCell ref="E84:F84"/>
    <mergeCell ref="E85:F85"/>
    <mergeCell ref="H87:I87"/>
    <mergeCell ref="E89:F89"/>
    <mergeCell ref="E90:F90"/>
    <mergeCell ref="E91:F91"/>
    <mergeCell ref="E92:F92"/>
    <mergeCell ref="E93:F93"/>
    <mergeCell ref="E94:F94"/>
    <mergeCell ref="E95:F95"/>
    <mergeCell ref="E96:F96"/>
    <mergeCell ref="E97:F97"/>
    <mergeCell ref="E98:F98"/>
    <mergeCell ref="H100:I100"/>
    <mergeCell ref="E102:F102"/>
    <mergeCell ref="E103:F103"/>
    <mergeCell ref="E104:F104"/>
    <mergeCell ref="E105:F105"/>
    <mergeCell ref="E106:F106"/>
    <mergeCell ref="E107:F107"/>
    <mergeCell ref="E108:F108"/>
    <mergeCell ref="E109:F109"/>
    <mergeCell ref="E110:F110"/>
    <mergeCell ref="H112:I112"/>
    <mergeCell ref="E114:F114"/>
    <mergeCell ref="E115:F115"/>
    <mergeCell ref="E116:F116"/>
    <mergeCell ref="H118:I118"/>
    <mergeCell ref="E120:F120"/>
    <mergeCell ref="E121:F121"/>
    <mergeCell ref="E122:F122"/>
    <mergeCell ref="H124:I124"/>
    <mergeCell ref="E126:F126"/>
    <mergeCell ref="E127:F127"/>
    <mergeCell ref="E128:F128"/>
    <mergeCell ref="H130:I130"/>
    <mergeCell ref="E132:F132"/>
    <mergeCell ref="E133:F133"/>
    <mergeCell ref="E134:F134"/>
    <mergeCell ref="H136:I136"/>
    <mergeCell ref="E138:F138"/>
    <mergeCell ref="E139:F139"/>
    <mergeCell ref="E140:F140"/>
    <mergeCell ref="H142:I142"/>
    <mergeCell ref="E144:F144"/>
    <mergeCell ref="E145:F145"/>
    <mergeCell ref="E146:F146"/>
    <mergeCell ref="H148:I148"/>
    <mergeCell ref="E150:F150"/>
    <mergeCell ref="E151:F151"/>
    <mergeCell ref="E152:F152"/>
    <mergeCell ref="H154:I154"/>
    <mergeCell ref="E156:F156"/>
    <mergeCell ref="E157:F157"/>
    <mergeCell ref="E158:F158"/>
    <mergeCell ref="H160:I160"/>
    <mergeCell ref="E162:F162"/>
    <mergeCell ref="E163:F163"/>
    <mergeCell ref="E164:F164"/>
    <mergeCell ref="H166:I166"/>
    <mergeCell ref="E168:F168"/>
    <mergeCell ref="E169:F169"/>
    <mergeCell ref="E170:F170"/>
    <mergeCell ref="H172:I172"/>
    <mergeCell ref="E174:F174"/>
    <mergeCell ref="E175:F175"/>
    <mergeCell ref="E176:F176"/>
    <mergeCell ref="H178:I178"/>
    <mergeCell ref="E180:F180"/>
    <mergeCell ref="E181:F181"/>
    <mergeCell ref="E182:F182"/>
    <mergeCell ref="H184:I184"/>
    <mergeCell ref="E186:F186"/>
    <mergeCell ref="E187:F187"/>
    <mergeCell ref="E188:F188"/>
    <mergeCell ref="H190:I190"/>
    <mergeCell ref="E192:F192"/>
    <mergeCell ref="E193:F193"/>
    <mergeCell ref="E194:F194"/>
    <mergeCell ref="E195:F195"/>
    <mergeCell ref="E196:F196"/>
    <mergeCell ref="E197:F197"/>
    <mergeCell ref="E198:F198"/>
    <mergeCell ref="E199:F199"/>
    <mergeCell ref="H201:I201"/>
    <mergeCell ref="E203:F203"/>
    <mergeCell ref="E204:F204"/>
    <mergeCell ref="E205:F205"/>
    <mergeCell ref="E206:F206"/>
    <mergeCell ref="E207:F207"/>
    <mergeCell ref="E208:F208"/>
    <mergeCell ref="E209:F209"/>
    <mergeCell ref="E210:F210"/>
    <mergeCell ref="E211:F211"/>
    <mergeCell ref="E212:F212"/>
    <mergeCell ref="H214:I214"/>
    <mergeCell ref="E216:F216"/>
    <mergeCell ref="E217:F217"/>
    <mergeCell ref="E218:F218"/>
    <mergeCell ref="E219:F219"/>
    <mergeCell ref="E220:F220"/>
    <mergeCell ref="E221:F221"/>
    <mergeCell ref="E222:F222"/>
    <mergeCell ref="E223:F223"/>
    <mergeCell ref="E224:F224"/>
    <mergeCell ref="E225:F225"/>
    <mergeCell ref="H227:I227"/>
    <mergeCell ref="E229:F229"/>
    <mergeCell ref="E230:F230"/>
    <mergeCell ref="E231:F231"/>
    <mergeCell ref="E232:F232"/>
    <mergeCell ref="E233:F233"/>
    <mergeCell ref="E234:F234"/>
    <mergeCell ref="E235:F235"/>
    <mergeCell ref="E236:F236"/>
    <mergeCell ref="E237:F237"/>
    <mergeCell ref="E238:F238"/>
    <mergeCell ref="H240:I240"/>
    <mergeCell ref="E242:F242"/>
    <mergeCell ref="E243:F243"/>
    <mergeCell ref="E244:F244"/>
    <mergeCell ref="E245:F245"/>
    <mergeCell ref="E246:F246"/>
    <mergeCell ref="E247:F247"/>
    <mergeCell ref="H249:I249"/>
    <mergeCell ref="E251:F251"/>
    <mergeCell ref="E252:F252"/>
    <mergeCell ref="E253:F253"/>
    <mergeCell ref="E254:F254"/>
    <mergeCell ref="E255:F255"/>
    <mergeCell ref="E256:F256"/>
    <mergeCell ref="E257:F257"/>
    <mergeCell ref="E258:F258"/>
    <mergeCell ref="H260:I260"/>
    <mergeCell ref="E262:F262"/>
    <mergeCell ref="E263:F263"/>
    <mergeCell ref="E264:F264"/>
    <mergeCell ref="E265:F265"/>
    <mergeCell ref="H267:I267"/>
    <mergeCell ref="E269:F269"/>
    <mergeCell ref="E270:F270"/>
    <mergeCell ref="E271:F271"/>
    <mergeCell ref="E272:F272"/>
    <mergeCell ref="H274:I274"/>
    <mergeCell ref="E276:F276"/>
    <mergeCell ref="E277:F277"/>
    <mergeCell ref="E278:F278"/>
    <mergeCell ref="E279:F279"/>
    <mergeCell ref="H281:I281"/>
    <mergeCell ref="E283:F283"/>
    <mergeCell ref="E284:F284"/>
    <mergeCell ref="E285:F285"/>
    <mergeCell ref="H287:I287"/>
    <mergeCell ref="E289:F289"/>
    <mergeCell ref="E290:F290"/>
    <mergeCell ref="E291:F291"/>
    <mergeCell ref="E292:F292"/>
    <mergeCell ref="H294:I294"/>
    <mergeCell ref="E296:F296"/>
    <mergeCell ref="E297:F297"/>
    <mergeCell ref="E298:F298"/>
    <mergeCell ref="E299:F299"/>
    <mergeCell ref="E300:F300"/>
    <mergeCell ref="H302:I302"/>
    <mergeCell ref="E304:F304"/>
    <mergeCell ref="E305:F305"/>
    <mergeCell ref="E306:F306"/>
    <mergeCell ref="E307:F307"/>
    <mergeCell ref="E308:F308"/>
    <mergeCell ref="E309:F309"/>
    <mergeCell ref="H311:I311"/>
    <mergeCell ref="E313:F313"/>
    <mergeCell ref="E314:F314"/>
    <mergeCell ref="E315:F315"/>
    <mergeCell ref="H317:I317"/>
    <mergeCell ref="E319:F319"/>
    <mergeCell ref="E320:F320"/>
    <mergeCell ref="E321:F321"/>
    <mergeCell ref="H323:I323"/>
    <mergeCell ref="E325:F325"/>
    <mergeCell ref="E326:F326"/>
    <mergeCell ref="E327:F327"/>
    <mergeCell ref="H329:I329"/>
    <mergeCell ref="E331:F331"/>
    <mergeCell ref="E332:F332"/>
    <mergeCell ref="E333:F333"/>
    <mergeCell ref="E334:F334"/>
    <mergeCell ref="E335:F335"/>
    <mergeCell ref="E336:F336"/>
    <mergeCell ref="E337:F337"/>
    <mergeCell ref="E338:F338"/>
    <mergeCell ref="E339:F339"/>
    <mergeCell ref="E340:F340"/>
    <mergeCell ref="H342:I342"/>
    <mergeCell ref="E344:F344"/>
    <mergeCell ref="E345:F345"/>
    <mergeCell ref="E346:F346"/>
    <mergeCell ref="E347:F347"/>
    <mergeCell ref="E348:F348"/>
    <mergeCell ref="E349:F349"/>
    <mergeCell ref="E350:F350"/>
    <mergeCell ref="E351:F351"/>
    <mergeCell ref="E352:F352"/>
    <mergeCell ref="E353:F353"/>
    <mergeCell ref="H355:I355"/>
    <mergeCell ref="E357:F357"/>
    <mergeCell ref="E358:F358"/>
    <mergeCell ref="E359:F359"/>
    <mergeCell ref="E360:F360"/>
    <mergeCell ref="E361:F361"/>
    <mergeCell ref="E362:F362"/>
    <mergeCell ref="E363:F363"/>
    <mergeCell ref="E364:F364"/>
    <mergeCell ref="E365:F365"/>
    <mergeCell ref="E366:F366"/>
    <mergeCell ref="H368:I368"/>
    <mergeCell ref="E370:F370"/>
    <mergeCell ref="E371:F371"/>
    <mergeCell ref="E372:F372"/>
    <mergeCell ref="E373:F373"/>
    <mergeCell ref="E374:F374"/>
    <mergeCell ref="E375:F375"/>
    <mergeCell ref="E376:F376"/>
    <mergeCell ref="E377:F377"/>
    <mergeCell ref="E378:F378"/>
    <mergeCell ref="E379:F379"/>
    <mergeCell ref="H381:I381"/>
    <mergeCell ref="E383:F383"/>
    <mergeCell ref="E384:F384"/>
    <mergeCell ref="E385:F385"/>
    <mergeCell ref="E386:F386"/>
    <mergeCell ref="E387:F387"/>
    <mergeCell ref="E388:F388"/>
    <mergeCell ref="E389:F389"/>
    <mergeCell ref="E390:F390"/>
    <mergeCell ref="E391:F391"/>
    <mergeCell ref="E392:F392"/>
    <mergeCell ref="H394:I394"/>
    <mergeCell ref="E396:F396"/>
    <mergeCell ref="E397:F397"/>
    <mergeCell ref="E398:F398"/>
    <mergeCell ref="E399:F399"/>
    <mergeCell ref="E400:F400"/>
    <mergeCell ref="E401:F401"/>
    <mergeCell ref="E402:F402"/>
    <mergeCell ref="E403:F403"/>
  </mergeCells>
  <conditionalFormatting sqref="P1">
    <cfRule type="dataBar" priority="2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{EF804BEE-BC41-40BE-83F4-CADBB91CDF2A}</x14:id>
        </ext>
      </extLst>
    </cfRule>
  </conditionalFormatting>
  <conditionalFormatting sqref="P3">
    <cfRule type="dataBar" priority="3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{3B9C84F0-907A-411D-8D47-A8BAE0DAE453}</x14:id>
        </ext>
      </extLst>
    </cfRule>
  </conditionalFormatting>
  <conditionalFormatting sqref="P5">
    <cfRule type="dataBar" priority="4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{DC2A4C61-FD23-435B-934A-C0B3417341A5}</x14:id>
        </ext>
      </extLst>
    </cfRule>
  </conditionalFormatting>
  <conditionalFormatting sqref="W1">
    <cfRule type="dataBar" priority="5">
      <dataBar showValue="1" minLength="10" maxLength="90"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{994C1024-2B38-42BA-89B8-AFC8BA44938E}</x14:id>
        </ext>
      </extLst>
    </cfRule>
  </conditionalFormatting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4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 de &amp;N</oddFooter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804BEE-BC41-40BE-83F4-CADBB91CDF2A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P1</xm:sqref>
        </x14:conditionalFormatting>
        <x14:conditionalFormatting xmlns:xm="http://schemas.microsoft.com/office/excel/2006/main">
          <x14:cfRule type="dataBar" id="{3B9C84F0-907A-411D-8D47-A8BAE0DAE453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DC2A4C61-FD23-435B-934A-C0B3417341A5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P5</xm:sqref>
        </x14:conditionalFormatting>
        <x14:conditionalFormatting xmlns:xm="http://schemas.microsoft.com/office/excel/2006/main">
          <x14:cfRule type="dataBar" id="{994C1024-2B38-42BA-89B8-AFC8BA44938E}">
            <x14:dataBar minLength="10" maxLength="90" axisPosition="automatic" gradient="false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W1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 zeroHeight="false" outlineLevelRow="0" outlineLevelCol="0"/>
  <cols>
    <col collapsed="false" customWidth="true" hidden="false" outlineLevel="0" max="2" min="1" style="0" width="14.58"/>
    <col collapsed="false" customWidth="true" hidden="false" outlineLevel="0" max="3" min="3" style="0" width="60.58"/>
    <col collapsed="false" customWidth="true" hidden="false" outlineLevel="0" max="4" min="4" style="219" width="16.58"/>
    <col collapsed="false" customWidth="true" hidden="false" outlineLevel="0" max="5" min="5" style="219" width="10.58"/>
    <col collapsed="false" customWidth="true" hidden="false" outlineLevel="0" max="6" min="6" style="220" width="12.59"/>
    <col collapsed="false" customWidth="true" hidden="false" outlineLevel="0" max="7" min="7" style="219" width="15.58"/>
    <col collapsed="false" customWidth="true" hidden="false" outlineLevel="0" max="8" min="8" style="0" width="15.58"/>
    <col collapsed="false" customWidth="true" hidden="false" outlineLevel="0" max="9" min="9" style="0" width="13"/>
    <col collapsed="false" customWidth="true" hidden="false" outlineLevel="0" max="10" min="10" style="0" width="9"/>
    <col collapsed="false" customWidth="true" hidden="true" outlineLevel="0" max="11" min="11" style="221" width="11.08"/>
    <col collapsed="false" customWidth="true" hidden="false" outlineLevel="0" max="1025" min="12" style="0" width="9"/>
  </cols>
  <sheetData>
    <row r="1" customFormat="false" ht="15" hidden="false" customHeight="true" outlineLevel="0" collapsed="false">
      <c r="A1" s="222"/>
      <c r="B1" s="222"/>
      <c r="C1" s="222"/>
      <c r="D1" s="222"/>
      <c r="E1" s="222"/>
      <c r="F1" s="222"/>
      <c r="G1" s="222"/>
      <c r="H1" s="222"/>
      <c r="I1" s="222"/>
    </row>
    <row r="2" customFormat="false" ht="15" hidden="false" customHeight="true" outlineLevel="0" collapsed="false">
      <c r="A2" s="223" t="str">
        <f aca="false">'ANALÍTICA AUXILIARES'!A2:J2</f>
        <v>PROCURADORIA GERAL DA REPÚBLICA</v>
      </c>
      <c r="B2" s="223"/>
      <c r="C2" s="223"/>
      <c r="D2" s="223"/>
      <c r="E2" s="223"/>
      <c r="F2" s="223"/>
      <c r="G2" s="223"/>
      <c r="H2" s="223"/>
      <c r="I2" s="223"/>
    </row>
    <row r="3" customFormat="false" ht="15" hidden="false" customHeight="true" outlineLevel="0" collapsed="false">
      <c r="A3" s="223" t="str">
        <f aca="false">'ANALÍTICA AUXILIARES'!A3:J3</f>
        <v>SECRETARIA DE ENGENHARIA E ARQUITETURA</v>
      </c>
      <c r="B3" s="223"/>
      <c r="C3" s="223"/>
      <c r="D3" s="223"/>
      <c r="E3" s="223"/>
      <c r="F3" s="223"/>
      <c r="G3" s="223"/>
      <c r="H3" s="223"/>
      <c r="I3" s="223"/>
    </row>
    <row r="4" customFormat="false" ht="15" hidden="false" customHeight="true" outlineLevel="0" collapsed="false">
      <c r="A4" s="222"/>
      <c r="B4" s="222"/>
      <c r="C4" s="222"/>
      <c r="D4" s="222"/>
      <c r="E4" s="222"/>
      <c r="F4" s="222"/>
      <c r="G4" s="222"/>
      <c r="H4" s="222"/>
      <c r="I4" s="222"/>
    </row>
    <row r="5" customFormat="false" ht="15" hidden="false" customHeight="true" outlineLevel="0" collapsed="false">
      <c r="A5" s="224" t="str">
        <f aca="false">'ANALÍTICA AUXILIARES'!A5:J5</f>
        <v>OBRA: SFCR DA PROCURADORIA DA REPÚBLICA EM GOIÁS (PR-GO)</v>
      </c>
      <c r="B5" s="224"/>
      <c r="C5" s="224"/>
      <c r="D5" s="224"/>
      <c r="E5" s="224"/>
      <c r="F5" s="224"/>
      <c r="G5" s="224"/>
      <c r="H5" s="224"/>
      <c r="I5" s="224"/>
    </row>
    <row r="6" s="67" customFormat="true" ht="25" hidden="false" customHeight="true" outlineLevel="0" collapsed="false">
      <c r="A6" s="72" t="s">
        <v>343</v>
      </c>
      <c r="B6" s="72"/>
      <c r="C6" s="72"/>
      <c r="D6" s="72"/>
      <c r="E6" s="72"/>
      <c r="F6" s="72"/>
      <c r="G6" s="72"/>
      <c r="H6" s="72"/>
      <c r="I6" s="72"/>
      <c r="K6" s="221"/>
    </row>
    <row r="7" customFormat="false" ht="15" hidden="false" customHeight="true" outlineLevel="0" collapsed="false">
      <c r="A7" s="225" t="str">
        <f aca="false">SINTÉTICA!E10</f>
        <v>REFERÊNCIA: SINAPI - GO - MAIO/22 (NÃO-DESONERADA)</v>
      </c>
      <c r="B7" s="225"/>
      <c r="C7" s="225"/>
      <c r="D7" s="225"/>
      <c r="E7" s="225"/>
      <c r="F7" s="225"/>
      <c r="G7" s="225"/>
      <c r="H7" s="225"/>
      <c r="I7" s="225"/>
    </row>
    <row r="8" customFormat="false" ht="15" hidden="false" customHeight="true" outlineLevel="0" collapsed="false">
      <c r="A8" s="80"/>
      <c r="B8" s="80"/>
      <c r="C8" s="80"/>
      <c r="D8" s="80"/>
      <c r="E8" s="80"/>
      <c r="F8" s="80"/>
      <c r="G8" s="80"/>
      <c r="H8" s="80"/>
      <c r="I8" s="80"/>
    </row>
    <row r="9" customFormat="false" ht="39" hidden="false" customHeight="false" outlineLevel="0" collapsed="false">
      <c r="A9" s="226" t="s">
        <v>18</v>
      </c>
      <c r="B9" s="226" t="s">
        <v>19</v>
      </c>
      <c r="C9" s="226" t="s">
        <v>20</v>
      </c>
      <c r="D9" s="226" t="s">
        <v>105</v>
      </c>
      <c r="E9" s="226" t="s">
        <v>21</v>
      </c>
      <c r="F9" s="227" t="s">
        <v>22</v>
      </c>
      <c r="G9" s="226" t="s">
        <v>344</v>
      </c>
      <c r="H9" s="226" t="s">
        <v>345</v>
      </c>
      <c r="I9" s="226" t="s">
        <v>346</v>
      </c>
    </row>
    <row r="10" customFormat="false" ht="15" hidden="false" customHeight="true" outlineLevel="0" collapsed="false">
      <c r="A10" s="89"/>
      <c r="B10" s="89"/>
      <c r="C10" s="89"/>
      <c r="D10" s="89"/>
      <c r="E10" s="89"/>
      <c r="F10" s="89"/>
      <c r="G10" s="89"/>
      <c r="H10" s="89"/>
      <c r="I10" s="89"/>
    </row>
    <row r="11" customFormat="false" ht="37.5" hidden="false" customHeight="false" outlineLevel="0" collapsed="false">
      <c r="A11" s="228" t="s">
        <v>183</v>
      </c>
      <c r="B11" s="229" t="s">
        <v>153</v>
      </c>
      <c r="C11" s="229" t="s">
        <v>347</v>
      </c>
      <c r="D11" s="229" t="s">
        <v>348</v>
      </c>
      <c r="E11" s="230" t="s">
        <v>178</v>
      </c>
      <c r="F11" s="228" t="s">
        <v>349</v>
      </c>
      <c r="G11" s="228" t="s">
        <v>350</v>
      </c>
      <c r="H11" s="231" t="n">
        <f aca="false">TRUNC(G11*(1-(SINTÉTICA!$I$53)),2)</f>
        <v>2812.14</v>
      </c>
      <c r="I11" s="232" t="n">
        <f aca="false">F11*H11/(SUM($K:$K))</f>
        <v>0.695648051545572</v>
      </c>
      <c r="K11" s="233" t="n">
        <f aca="false">F11*H11</f>
        <v>156411.2268</v>
      </c>
    </row>
    <row r="12" customFormat="false" ht="14" hidden="false" customHeight="false" outlineLevel="0" collapsed="false">
      <c r="A12" s="228" t="s">
        <v>243</v>
      </c>
      <c r="B12" s="229" t="s">
        <v>122</v>
      </c>
      <c r="C12" s="229" t="s">
        <v>351</v>
      </c>
      <c r="D12" s="229" t="s">
        <v>352</v>
      </c>
      <c r="E12" s="230" t="s">
        <v>125</v>
      </c>
      <c r="F12" s="228" t="s">
        <v>353</v>
      </c>
      <c r="G12" s="228" t="s">
        <v>354</v>
      </c>
      <c r="H12" s="231" t="n">
        <f aca="false">TRUNC(G12*(1-(SINTÉTICA!$I$53)),2)</f>
        <v>106.8</v>
      </c>
      <c r="I12" s="232" t="n">
        <f aca="false">F12*H12/(SUM($K:$K))</f>
        <v>0.0701949849431906</v>
      </c>
      <c r="K12" s="233" t="n">
        <f aca="false">F12*H12</f>
        <v>15782.8138608</v>
      </c>
    </row>
    <row r="13" customFormat="false" ht="14" hidden="false" customHeight="false" outlineLevel="0" collapsed="false">
      <c r="A13" s="234" t="s">
        <v>291</v>
      </c>
      <c r="B13" s="235" t="s">
        <v>122</v>
      </c>
      <c r="C13" s="235" t="s">
        <v>355</v>
      </c>
      <c r="D13" s="235" t="s">
        <v>352</v>
      </c>
      <c r="E13" s="236" t="s">
        <v>125</v>
      </c>
      <c r="F13" s="234" t="s">
        <v>356</v>
      </c>
      <c r="G13" s="234" t="s">
        <v>357</v>
      </c>
      <c r="H13" s="231" t="n">
        <f aca="false">TRUNC(G13*(1-(SINTÉTICA!$I$53)),2)</f>
        <v>20.55</v>
      </c>
      <c r="I13" s="237" t="n">
        <f aca="false">F13*H13/(SUM($K:$K))</f>
        <v>0.0601564407448802</v>
      </c>
      <c r="K13" s="233" t="n">
        <f aca="false">F13*H13</f>
        <v>13525.722778815</v>
      </c>
    </row>
    <row r="14" customFormat="false" ht="14" hidden="false" customHeight="false" outlineLevel="0" collapsed="false">
      <c r="A14" s="234" t="s">
        <v>252</v>
      </c>
      <c r="B14" s="235" t="s">
        <v>122</v>
      </c>
      <c r="C14" s="235" t="s">
        <v>358</v>
      </c>
      <c r="D14" s="235" t="s">
        <v>352</v>
      </c>
      <c r="E14" s="236" t="s">
        <v>125</v>
      </c>
      <c r="F14" s="234" t="s">
        <v>359</v>
      </c>
      <c r="G14" s="234" t="s">
        <v>360</v>
      </c>
      <c r="H14" s="231" t="n">
        <f aca="false">TRUNC(G14*(1-(SINTÉTICA!$I$53)),2)</f>
        <v>13.35</v>
      </c>
      <c r="I14" s="237" t="n">
        <f aca="false">F14*H14/(SUM($K:$K))</f>
        <v>0.0388732894926487</v>
      </c>
      <c r="K14" s="233" t="n">
        <f aca="false">F14*H14</f>
        <v>8740.366462305</v>
      </c>
    </row>
    <row r="15" customFormat="false" ht="14" hidden="false" customHeight="false" outlineLevel="0" collapsed="false">
      <c r="A15" s="234" t="s">
        <v>196</v>
      </c>
      <c r="B15" s="235" t="s">
        <v>361</v>
      </c>
      <c r="C15" s="235" t="s">
        <v>362</v>
      </c>
      <c r="D15" s="235" t="s">
        <v>363</v>
      </c>
      <c r="E15" s="236" t="s">
        <v>195</v>
      </c>
      <c r="F15" s="234" t="s">
        <v>364</v>
      </c>
      <c r="G15" s="234" t="s">
        <v>365</v>
      </c>
      <c r="H15" s="231" t="n">
        <f aca="false">TRUNC(G15*(1-(SINTÉTICA!$I$53)),2)</f>
        <v>75.08</v>
      </c>
      <c r="I15" s="237" t="n">
        <f aca="false">F15*H15/(SUM($K:$K))</f>
        <v>0.0352622347885094</v>
      </c>
      <c r="K15" s="233" t="n">
        <f aca="false">F15*H15</f>
        <v>7928.448</v>
      </c>
    </row>
    <row r="16" customFormat="false" ht="14" hidden="false" customHeight="false" outlineLevel="0" collapsed="false">
      <c r="A16" s="234" t="s">
        <v>129</v>
      </c>
      <c r="B16" s="235" t="s">
        <v>122</v>
      </c>
      <c r="C16" s="235" t="s">
        <v>366</v>
      </c>
      <c r="D16" s="235" t="s">
        <v>367</v>
      </c>
      <c r="E16" s="236" t="s">
        <v>125</v>
      </c>
      <c r="F16" s="234" t="s">
        <v>368</v>
      </c>
      <c r="G16" s="234" t="s">
        <v>369</v>
      </c>
      <c r="H16" s="231" t="n">
        <f aca="false">TRUNC(G16*(1-(SINTÉTICA!$I$53)),2)</f>
        <v>2.11</v>
      </c>
      <c r="I16" s="237" t="n">
        <f aca="false">F16*H16/(SUM($K:$K))</f>
        <v>0.0127426044555741</v>
      </c>
      <c r="K16" s="233" t="n">
        <f aca="false">F16*H16</f>
        <v>2865.078671744</v>
      </c>
    </row>
    <row r="17" customFormat="false" ht="37.5" hidden="false" customHeight="false" outlineLevel="0" collapsed="false">
      <c r="A17" s="234" t="s">
        <v>229</v>
      </c>
      <c r="B17" s="235" t="s">
        <v>122</v>
      </c>
      <c r="C17" s="235" t="s">
        <v>370</v>
      </c>
      <c r="D17" s="235" t="s">
        <v>363</v>
      </c>
      <c r="E17" s="236" t="s">
        <v>155</v>
      </c>
      <c r="F17" s="234" t="s">
        <v>371</v>
      </c>
      <c r="G17" s="234" t="s">
        <v>372</v>
      </c>
      <c r="H17" s="231" t="n">
        <f aca="false">TRUNC(G17*(1-(SINTÉTICA!$I$53)),2)</f>
        <v>787.53</v>
      </c>
      <c r="I17" s="237" t="n">
        <f aca="false">F17*H17/(SUM($K:$K))</f>
        <v>0.00700517119188895</v>
      </c>
      <c r="K17" s="233" t="n">
        <f aca="false">F17*H17</f>
        <v>1575.06</v>
      </c>
    </row>
    <row r="18" customFormat="false" ht="25" hidden="false" customHeight="false" outlineLevel="0" collapsed="false">
      <c r="A18" s="234" t="s">
        <v>253</v>
      </c>
      <c r="B18" s="235" t="s">
        <v>122</v>
      </c>
      <c r="C18" s="235" t="s">
        <v>373</v>
      </c>
      <c r="D18" s="235" t="s">
        <v>374</v>
      </c>
      <c r="E18" s="236" t="s">
        <v>125</v>
      </c>
      <c r="F18" s="234" t="s">
        <v>375</v>
      </c>
      <c r="G18" s="234" t="s">
        <v>376</v>
      </c>
      <c r="H18" s="231" t="n">
        <f aca="false">TRUNC(G18*(1-(SINTÉTICA!$I$53)),2)</f>
        <v>1.07</v>
      </c>
      <c r="I18" s="237" t="n">
        <f aca="false">F18*H18/(SUM($K:$K))</f>
        <v>0.00621704855974057</v>
      </c>
      <c r="K18" s="233" t="n">
        <f aca="false">F18*H18</f>
        <v>1397.85656</v>
      </c>
    </row>
    <row r="19" customFormat="false" ht="14" hidden="false" customHeight="false" outlineLevel="0" collapsed="false">
      <c r="A19" s="234" t="s">
        <v>245</v>
      </c>
      <c r="B19" s="235" t="s">
        <v>122</v>
      </c>
      <c r="C19" s="235" t="s">
        <v>377</v>
      </c>
      <c r="D19" s="235" t="s">
        <v>367</v>
      </c>
      <c r="E19" s="236" t="s">
        <v>125</v>
      </c>
      <c r="F19" s="234" t="s">
        <v>378</v>
      </c>
      <c r="G19" s="234" t="s">
        <v>379</v>
      </c>
      <c r="H19" s="231" t="n">
        <f aca="false">TRUNC(G19*(1-(SINTÉTICA!$I$53)),2)</f>
        <v>0.81</v>
      </c>
      <c r="I19" s="237" t="n">
        <f aca="false">F19*H19/(SUM($K:$K))</f>
        <v>0.00547463483739896</v>
      </c>
      <c r="K19" s="233" t="n">
        <f aca="false">F19*H19</f>
        <v>1230.930424224</v>
      </c>
    </row>
    <row r="20" customFormat="false" ht="37.5" hidden="false" customHeight="false" outlineLevel="0" collapsed="false">
      <c r="A20" s="234" t="s">
        <v>275</v>
      </c>
      <c r="B20" s="235" t="s">
        <v>122</v>
      </c>
      <c r="C20" s="235" t="s">
        <v>380</v>
      </c>
      <c r="D20" s="235" t="s">
        <v>363</v>
      </c>
      <c r="E20" s="236" t="s">
        <v>195</v>
      </c>
      <c r="F20" s="234" t="s">
        <v>381</v>
      </c>
      <c r="G20" s="234" t="s">
        <v>382</v>
      </c>
      <c r="H20" s="231" t="n">
        <f aca="false">TRUNC(G20*(1-(SINTÉTICA!$I$53)),2)</f>
        <v>9.7</v>
      </c>
      <c r="I20" s="237" t="n">
        <f aca="false">F20*H20/(SUM($K:$K))</f>
        <v>0.0053167357355132</v>
      </c>
      <c r="K20" s="233" t="n">
        <f aca="false">F20*H20</f>
        <v>1195.428</v>
      </c>
    </row>
    <row r="21" customFormat="false" ht="14" hidden="false" customHeight="false" outlineLevel="0" collapsed="false">
      <c r="A21" s="234" t="s">
        <v>327</v>
      </c>
      <c r="B21" s="235" t="s">
        <v>122</v>
      </c>
      <c r="C21" s="235" t="s">
        <v>383</v>
      </c>
      <c r="D21" s="235" t="s">
        <v>363</v>
      </c>
      <c r="E21" s="236" t="s">
        <v>384</v>
      </c>
      <c r="F21" s="234" t="s">
        <v>385</v>
      </c>
      <c r="G21" s="234" t="s">
        <v>386</v>
      </c>
      <c r="H21" s="231" t="n">
        <f aca="false">TRUNC(G21*(1-(SINTÉTICA!$I$53)),2)</f>
        <v>6.89</v>
      </c>
      <c r="I21" s="237" t="n">
        <f aca="false">F21*H21/(SUM($K:$K))</f>
        <v>0.00453550930937812</v>
      </c>
      <c r="K21" s="233" t="n">
        <f aca="false">F21*H21</f>
        <v>1019.77512</v>
      </c>
    </row>
    <row r="22" customFormat="false" ht="25" hidden="false" customHeight="false" outlineLevel="0" collapsed="false">
      <c r="A22" s="234" t="s">
        <v>254</v>
      </c>
      <c r="B22" s="235" t="s">
        <v>122</v>
      </c>
      <c r="C22" s="235" t="s">
        <v>387</v>
      </c>
      <c r="D22" s="235" t="s">
        <v>374</v>
      </c>
      <c r="E22" s="236" t="s">
        <v>125</v>
      </c>
      <c r="F22" s="234" t="s">
        <v>375</v>
      </c>
      <c r="G22" s="234" t="s">
        <v>388</v>
      </c>
      <c r="H22" s="231" t="n">
        <f aca="false">TRUNC(G22*(1-(SINTÉTICA!$I$53)),2)</f>
        <v>0.78</v>
      </c>
      <c r="I22" s="237" t="n">
        <f aca="false">F22*H22/(SUM($K:$K))</f>
        <v>0.00453205409027818</v>
      </c>
      <c r="K22" s="233" t="n">
        <f aca="false">F22*H22</f>
        <v>1018.99824</v>
      </c>
    </row>
    <row r="23" customFormat="false" ht="14" hidden="false" customHeight="false" outlineLevel="0" collapsed="false">
      <c r="A23" s="238" t="s">
        <v>255</v>
      </c>
      <c r="B23" s="239" t="s">
        <v>122</v>
      </c>
      <c r="C23" s="239" t="s">
        <v>389</v>
      </c>
      <c r="D23" s="239" t="s">
        <v>390</v>
      </c>
      <c r="E23" s="240" t="s">
        <v>125</v>
      </c>
      <c r="F23" s="238" t="s">
        <v>368</v>
      </c>
      <c r="G23" s="238" t="s">
        <v>391</v>
      </c>
      <c r="H23" s="231" t="n">
        <f aca="false">TRUNC(G23*(1-(SINTÉTICA!$I$53)),2)</f>
        <v>0.75</v>
      </c>
      <c r="I23" s="241" t="n">
        <f aca="false">F23*H23/(SUM($K:$K))</f>
        <v>0.00452936177330833</v>
      </c>
      <c r="K23" s="233" t="n">
        <f aca="false">F23*H23</f>
        <v>1018.3928928</v>
      </c>
    </row>
    <row r="24" customFormat="false" ht="25" hidden="false" customHeight="false" outlineLevel="0" collapsed="false">
      <c r="A24" s="238" t="s">
        <v>200</v>
      </c>
      <c r="B24" s="239" t="s">
        <v>122</v>
      </c>
      <c r="C24" s="239" t="s">
        <v>392</v>
      </c>
      <c r="D24" s="239" t="s">
        <v>363</v>
      </c>
      <c r="E24" s="240" t="s">
        <v>155</v>
      </c>
      <c r="F24" s="238" t="s">
        <v>393</v>
      </c>
      <c r="G24" s="238" t="s">
        <v>394</v>
      </c>
      <c r="H24" s="231" t="n">
        <f aca="false">TRUNC(G24*(1-(SINTÉTICA!$I$53)),2)</f>
        <v>82.19</v>
      </c>
      <c r="I24" s="241" t="n">
        <f aca="false">F24*H24/(SUM($K:$K))</f>
        <v>0.00438653781007468</v>
      </c>
      <c r="K24" s="233" t="n">
        <f aca="false">F24*H24</f>
        <v>986.28</v>
      </c>
    </row>
    <row r="25" customFormat="false" ht="37.5" hidden="false" customHeight="false" outlineLevel="0" collapsed="false">
      <c r="A25" s="238" t="s">
        <v>234</v>
      </c>
      <c r="B25" s="239" t="s">
        <v>153</v>
      </c>
      <c r="C25" s="239" t="s">
        <v>395</v>
      </c>
      <c r="D25" s="239" t="s">
        <v>363</v>
      </c>
      <c r="E25" s="240" t="s">
        <v>155</v>
      </c>
      <c r="F25" s="238" t="s">
        <v>371</v>
      </c>
      <c r="G25" s="238" t="s">
        <v>396</v>
      </c>
      <c r="H25" s="231" t="n">
        <f aca="false">TRUNC(G25*(1-(SINTÉTICA!$I$53)),2)</f>
        <v>465.1</v>
      </c>
      <c r="I25" s="241" t="n">
        <f aca="false">F25*H25/(SUM($K:$K))</f>
        <v>0.00413711874004489</v>
      </c>
      <c r="K25" s="233" t="n">
        <f aca="false">F25*H25</f>
        <v>930.2</v>
      </c>
    </row>
    <row r="26" customFormat="false" ht="25" hidden="false" customHeight="false" outlineLevel="0" collapsed="false">
      <c r="A26" s="238" t="s">
        <v>156</v>
      </c>
      <c r="B26" s="239" t="s">
        <v>153</v>
      </c>
      <c r="C26" s="239" t="s">
        <v>154</v>
      </c>
      <c r="D26" s="239" t="s">
        <v>363</v>
      </c>
      <c r="E26" s="240" t="s">
        <v>155</v>
      </c>
      <c r="F26" s="238" t="s">
        <v>371</v>
      </c>
      <c r="G26" s="238" t="s">
        <v>397</v>
      </c>
      <c r="H26" s="231" t="n">
        <f aca="false">TRUNC(G26*(1-(SINTÉTICA!$I$53)),2)</f>
        <v>420.2</v>
      </c>
      <c r="I26" s="241" t="n">
        <f aca="false">F26*H26/(SUM($K:$K))</f>
        <v>0.00373772800379889</v>
      </c>
      <c r="K26" s="233" t="n">
        <f aca="false">F26*H26</f>
        <v>840.4</v>
      </c>
    </row>
    <row r="27" customFormat="false" ht="14" hidden="false" customHeight="false" outlineLevel="0" collapsed="false">
      <c r="A27" s="238" t="s">
        <v>294</v>
      </c>
      <c r="B27" s="239" t="s">
        <v>122</v>
      </c>
      <c r="C27" s="239" t="s">
        <v>398</v>
      </c>
      <c r="D27" s="239" t="s">
        <v>352</v>
      </c>
      <c r="E27" s="240" t="s">
        <v>125</v>
      </c>
      <c r="F27" s="238" t="s">
        <v>399</v>
      </c>
      <c r="G27" s="238" t="s">
        <v>400</v>
      </c>
      <c r="H27" s="231" t="n">
        <f aca="false">TRUNC(G27*(1-(SINTÉTICA!$I$53)),2)</f>
        <v>24.6</v>
      </c>
      <c r="I27" s="241" t="n">
        <f aca="false">F27*H27/(SUM($K:$K))</f>
        <v>0.0035886458492447</v>
      </c>
      <c r="K27" s="233" t="n">
        <f aca="false">F27*H27</f>
        <v>806.88</v>
      </c>
    </row>
    <row r="28" customFormat="false" ht="25" hidden="false" customHeight="false" outlineLevel="0" collapsed="false">
      <c r="A28" s="238" t="s">
        <v>231</v>
      </c>
      <c r="B28" s="239" t="s">
        <v>122</v>
      </c>
      <c r="C28" s="239" t="s">
        <v>401</v>
      </c>
      <c r="D28" s="239" t="s">
        <v>363</v>
      </c>
      <c r="E28" s="240" t="s">
        <v>155</v>
      </c>
      <c r="F28" s="238" t="s">
        <v>402</v>
      </c>
      <c r="G28" s="238" t="s">
        <v>403</v>
      </c>
      <c r="H28" s="231" t="n">
        <f aca="false">TRUNC(G28*(1-(SINTÉTICA!$I$53)),2)</f>
        <v>92.88</v>
      </c>
      <c r="I28" s="241" t="n">
        <f aca="false">F28*H28/(SUM($K:$K))</f>
        <v>0.00330471372672861</v>
      </c>
      <c r="K28" s="233" t="n">
        <f aca="false">F28*H28</f>
        <v>743.04</v>
      </c>
    </row>
    <row r="29" customFormat="false" ht="37.5" hidden="false" customHeight="false" outlineLevel="0" collapsed="false">
      <c r="A29" s="238" t="s">
        <v>152</v>
      </c>
      <c r="B29" s="239" t="s">
        <v>122</v>
      </c>
      <c r="C29" s="239" t="s">
        <v>404</v>
      </c>
      <c r="D29" s="239" t="s">
        <v>374</v>
      </c>
      <c r="E29" s="240" t="s">
        <v>151</v>
      </c>
      <c r="F29" s="238" t="s">
        <v>405</v>
      </c>
      <c r="G29" s="238" t="s">
        <v>406</v>
      </c>
      <c r="H29" s="231" t="n">
        <f aca="false">TRUNC(G29*(1-(SINTÉTICA!$I$53)),2)</f>
        <v>648.43</v>
      </c>
      <c r="I29" s="241" t="n">
        <f aca="false">F29*H29/(SUM($K:$K))</f>
        <v>0.00288393023501108</v>
      </c>
      <c r="K29" s="233" t="n">
        <f aca="false">F29*H29</f>
        <v>648.43</v>
      </c>
    </row>
    <row r="30" customFormat="false" ht="25" hidden="false" customHeight="false" outlineLevel="0" collapsed="false">
      <c r="A30" s="238" t="s">
        <v>222</v>
      </c>
      <c r="B30" s="239" t="s">
        <v>122</v>
      </c>
      <c r="C30" s="239" t="s">
        <v>407</v>
      </c>
      <c r="D30" s="239" t="s">
        <v>363</v>
      </c>
      <c r="E30" s="240" t="s">
        <v>195</v>
      </c>
      <c r="F30" s="238" t="s">
        <v>408</v>
      </c>
      <c r="G30" s="238" t="s">
        <v>409</v>
      </c>
      <c r="H30" s="231" t="n">
        <f aca="false">TRUNC(G30*(1-(SINTÉTICA!$I$53)),2)</f>
        <v>5.2</v>
      </c>
      <c r="I30" s="241" t="n">
        <f aca="false">F30*H30/(SUM($K:$K))</f>
        <v>0.00285853467706047</v>
      </c>
      <c r="K30" s="233" t="n">
        <f aca="false">F30*H30</f>
        <v>642.72</v>
      </c>
    </row>
    <row r="31" customFormat="false" ht="14" hidden="false" customHeight="false" outlineLevel="0" collapsed="false">
      <c r="A31" s="238" t="s">
        <v>225</v>
      </c>
      <c r="B31" s="239" t="s">
        <v>122</v>
      </c>
      <c r="C31" s="239" t="s">
        <v>410</v>
      </c>
      <c r="D31" s="239" t="s">
        <v>363</v>
      </c>
      <c r="E31" s="240" t="s">
        <v>195</v>
      </c>
      <c r="F31" s="238" t="s">
        <v>411</v>
      </c>
      <c r="G31" s="238" t="s">
        <v>412</v>
      </c>
      <c r="H31" s="231" t="n">
        <f aca="false">TRUNC(G31*(1-(SINTÉTICA!$I$53)),2)</f>
        <v>15.59</v>
      </c>
      <c r="I31" s="241" t="n">
        <f aca="false">F31*H31/(SUM($K:$K))</f>
        <v>0.00254815070149513</v>
      </c>
      <c r="K31" s="233" t="n">
        <f aca="false">F31*H31</f>
        <v>572.9325</v>
      </c>
    </row>
    <row r="32" customFormat="false" ht="25" hidden="false" customHeight="false" outlineLevel="0" collapsed="false">
      <c r="A32" s="238" t="s">
        <v>146</v>
      </c>
      <c r="B32" s="239" t="s">
        <v>122</v>
      </c>
      <c r="C32" s="239" t="s">
        <v>413</v>
      </c>
      <c r="D32" s="239" t="s">
        <v>363</v>
      </c>
      <c r="E32" s="240" t="s">
        <v>134</v>
      </c>
      <c r="F32" s="238" t="s">
        <v>414</v>
      </c>
      <c r="G32" s="238" t="s">
        <v>415</v>
      </c>
      <c r="H32" s="231" t="n">
        <f aca="false">TRUNC(G32*(1-(SINTÉTICA!$I$53)),2)</f>
        <v>315</v>
      </c>
      <c r="I32" s="241" t="n">
        <f aca="false">F32*H32/(SUM($K:$K))</f>
        <v>0.00224156938828491</v>
      </c>
      <c r="K32" s="233" t="n">
        <f aca="false">F32*H32</f>
        <v>504</v>
      </c>
    </row>
    <row r="33" customFormat="false" ht="14" hidden="false" customHeight="false" outlineLevel="0" collapsed="false">
      <c r="A33" s="238" t="s">
        <v>300</v>
      </c>
      <c r="B33" s="239" t="s">
        <v>122</v>
      </c>
      <c r="C33" s="239" t="s">
        <v>416</v>
      </c>
      <c r="D33" s="239" t="s">
        <v>352</v>
      </c>
      <c r="E33" s="240" t="s">
        <v>125</v>
      </c>
      <c r="F33" s="238" t="s">
        <v>417</v>
      </c>
      <c r="G33" s="238" t="s">
        <v>418</v>
      </c>
      <c r="H33" s="231" t="n">
        <f aca="false">TRUNC(G33*(1-(SINTÉTICA!$I$53)),2)</f>
        <v>24.49</v>
      </c>
      <c r="I33" s="241" t="n">
        <f aca="false">F33*H33/(SUM($K:$K))</f>
        <v>0.00176590957382671</v>
      </c>
      <c r="K33" s="233" t="n">
        <f aca="false">F33*H33</f>
        <v>397.051472</v>
      </c>
    </row>
    <row r="34" customFormat="false" ht="37.5" hidden="false" customHeight="false" outlineLevel="0" collapsed="false">
      <c r="A34" s="238" t="s">
        <v>325</v>
      </c>
      <c r="B34" s="239" t="s">
        <v>122</v>
      </c>
      <c r="C34" s="239" t="s">
        <v>419</v>
      </c>
      <c r="D34" s="239" t="s">
        <v>374</v>
      </c>
      <c r="E34" s="240" t="s">
        <v>155</v>
      </c>
      <c r="F34" s="238" t="s">
        <v>420</v>
      </c>
      <c r="G34" s="238" t="s">
        <v>421</v>
      </c>
      <c r="H34" s="231" t="n">
        <f aca="false">TRUNC(G34*(1-(SINTÉTICA!$I$53)),2)</f>
        <v>459729.71</v>
      </c>
      <c r="I34" s="241" t="n">
        <f aca="false">F34*H34/(SUM($K:$K))</f>
        <v>0.00150835652036612</v>
      </c>
      <c r="K34" s="233" t="n">
        <f aca="false">F34*H34</f>
        <v>339.142607067</v>
      </c>
    </row>
    <row r="35" customFormat="false" ht="25" hidden="false" customHeight="false" outlineLevel="0" collapsed="false">
      <c r="A35" s="238" t="s">
        <v>223</v>
      </c>
      <c r="B35" s="239" t="s">
        <v>122</v>
      </c>
      <c r="C35" s="239" t="s">
        <v>422</v>
      </c>
      <c r="D35" s="239" t="s">
        <v>363</v>
      </c>
      <c r="E35" s="240" t="s">
        <v>155</v>
      </c>
      <c r="F35" s="238" t="s">
        <v>423</v>
      </c>
      <c r="G35" s="238" t="s">
        <v>424</v>
      </c>
      <c r="H35" s="231" t="n">
        <f aca="false">TRUNC(G35*(1-(SINTÉTICA!$I$53)),2)</f>
        <v>1.53</v>
      </c>
      <c r="I35" s="241" t="n">
        <f aca="false">F35*H35/(SUM($K:$K))</f>
        <v>0.00140178142817389</v>
      </c>
      <c r="K35" s="233" t="n">
        <f aca="false">F35*H35</f>
        <v>315.18</v>
      </c>
    </row>
    <row r="36" customFormat="false" ht="37.5" hidden="false" customHeight="false" outlineLevel="0" collapsed="false">
      <c r="A36" s="238" t="s">
        <v>215</v>
      </c>
      <c r="B36" s="239" t="s">
        <v>122</v>
      </c>
      <c r="C36" s="239" t="s">
        <v>425</v>
      </c>
      <c r="D36" s="239" t="s">
        <v>363</v>
      </c>
      <c r="E36" s="240" t="s">
        <v>195</v>
      </c>
      <c r="F36" s="238" t="s">
        <v>426</v>
      </c>
      <c r="G36" s="238" t="s">
        <v>427</v>
      </c>
      <c r="H36" s="231" t="n">
        <f aca="false">TRUNC(G36*(1-(SINTÉTICA!$I$53)),2)</f>
        <v>15.6</v>
      </c>
      <c r="I36" s="241" t="n">
        <f aca="false">F36*H36/(SUM($K:$K))</f>
        <v>0.00127662713732798</v>
      </c>
      <c r="K36" s="233" t="n">
        <f aca="false">F36*H36</f>
        <v>287.04</v>
      </c>
    </row>
    <row r="37" customFormat="false" ht="14" hidden="false" customHeight="false" outlineLevel="0" collapsed="false">
      <c r="A37" s="238" t="s">
        <v>288</v>
      </c>
      <c r="B37" s="239" t="s">
        <v>122</v>
      </c>
      <c r="C37" s="239" t="s">
        <v>428</v>
      </c>
      <c r="D37" s="239" t="s">
        <v>352</v>
      </c>
      <c r="E37" s="240" t="s">
        <v>125</v>
      </c>
      <c r="F37" s="238" t="s">
        <v>429</v>
      </c>
      <c r="G37" s="238" t="s">
        <v>430</v>
      </c>
      <c r="H37" s="231" t="n">
        <f aca="false">TRUNC(G37*(1-(SINTÉTICA!$I$53)),2)</f>
        <v>15.42</v>
      </c>
      <c r="I37" s="241" t="n">
        <f aca="false">F37*H37/(SUM($K:$K))</f>
        <v>0.00123952558811498</v>
      </c>
      <c r="K37" s="233" t="n">
        <f aca="false">F37*H37</f>
        <v>278.697996</v>
      </c>
    </row>
    <row r="38" customFormat="false" ht="25" hidden="false" customHeight="false" outlineLevel="0" collapsed="false">
      <c r="A38" s="238" t="s">
        <v>176</v>
      </c>
      <c r="B38" s="239" t="s">
        <v>153</v>
      </c>
      <c r="C38" s="239" t="s">
        <v>431</v>
      </c>
      <c r="D38" s="239" t="s">
        <v>432</v>
      </c>
      <c r="E38" s="240" t="s">
        <v>171</v>
      </c>
      <c r="F38" s="238" t="s">
        <v>405</v>
      </c>
      <c r="G38" s="238" t="s">
        <v>433</v>
      </c>
      <c r="H38" s="231" t="n">
        <f aca="false">TRUNC(G38*(1-(SINTÉTICA!$I$53)),2)</f>
        <v>233.94</v>
      </c>
      <c r="I38" s="241" t="n">
        <f aca="false">F38*H38/(SUM($K:$K))</f>
        <v>0.00104046179106225</v>
      </c>
      <c r="K38" s="233" t="n">
        <f aca="false">F38*H38</f>
        <v>233.94</v>
      </c>
    </row>
    <row r="39" customFormat="false" ht="14" hidden="false" customHeight="false" outlineLevel="0" collapsed="false">
      <c r="A39" s="238" t="s">
        <v>206</v>
      </c>
      <c r="B39" s="239" t="s">
        <v>434</v>
      </c>
      <c r="C39" s="239" t="s">
        <v>435</v>
      </c>
      <c r="D39" s="239" t="s">
        <v>363</v>
      </c>
      <c r="E39" s="240" t="s">
        <v>436</v>
      </c>
      <c r="F39" s="238" t="s">
        <v>437</v>
      </c>
      <c r="G39" s="238" t="s">
        <v>438</v>
      </c>
      <c r="H39" s="231" t="n">
        <f aca="false">TRUNC(G39*(1-(SINTÉTICA!$I$53)),2)</f>
        <v>7.7</v>
      </c>
      <c r="I39" s="241" t="n">
        <f aca="false">F39*H39/(SUM($K:$K))</f>
        <v>0.00098629053084536</v>
      </c>
      <c r="K39" s="233" t="n">
        <f aca="false">F39*H39</f>
        <v>221.76</v>
      </c>
    </row>
    <row r="40" customFormat="false" ht="25" hidden="false" customHeight="false" outlineLevel="0" collapsed="false">
      <c r="A40" s="238" t="s">
        <v>198</v>
      </c>
      <c r="B40" s="239" t="s">
        <v>122</v>
      </c>
      <c r="C40" s="239" t="s">
        <v>439</v>
      </c>
      <c r="D40" s="239" t="s">
        <v>363</v>
      </c>
      <c r="E40" s="240" t="s">
        <v>155</v>
      </c>
      <c r="F40" s="238" t="s">
        <v>440</v>
      </c>
      <c r="G40" s="238" t="s">
        <v>441</v>
      </c>
      <c r="H40" s="231" t="n">
        <f aca="false">TRUNC(G40*(1-(SINTÉTICA!$I$53)),2)</f>
        <v>42.59</v>
      </c>
      <c r="I40" s="241" t="n">
        <f aca="false">F40*H40/(SUM($K:$K))</f>
        <v>0.00075768603370678</v>
      </c>
      <c r="K40" s="233" t="n">
        <f aca="false">F40*H40</f>
        <v>170.36</v>
      </c>
    </row>
    <row r="41" customFormat="false" ht="14" hidden="false" customHeight="false" outlineLevel="0" collapsed="false">
      <c r="A41" s="238" t="s">
        <v>297</v>
      </c>
      <c r="B41" s="239" t="s">
        <v>122</v>
      </c>
      <c r="C41" s="239" t="s">
        <v>442</v>
      </c>
      <c r="D41" s="239" t="s">
        <v>352</v>
      </c>
      <c r="E41" s="240" t="s">
        <v>125</v>
      </c>
      <c r="F41" s="238" t="s">
        <v>443</v>
      </c>
      <c r="G41" s="238" t="s">
        <v>357</v>
      </c>
      <c r="H41" s="231" t="n">
        <f aca="false">TRUNC(G41*(1-(SINTÉTICA!$I$53)),2)</f>
        <v>20.55</v>
      </c>
      <c r="I41" s="241" t="n">
        <f aca="false">F41*H41/(SUM($K:$K))</f>
        <v>0.000696229785234341</v>
      </c>
      <c r="K41" s="233" t="n">
        <f aca="false">F41*H41</f>
        <v>156.54202524</v>
      </c>
    </row>
    <row r="42" customFormat="false" ht="14" hidden="false" customHeight="false" outlineLevel="0" collapsed="false">
      <c r="A42" s="238" t="s">
        <v>208</v>
      </c>
      <c r="B42" s="239" t="s">
        <v>122</v>
      </c>
      <c r="C42" s="239" t="s">
        <v>444</v>
      </c>
      <c r="D42" s="239" t="s">
        <v>363</v>
      </c>
      <c r="E42" s="240" t="s">
        <v>195</v>
      </c>
      <c r="F42" s="238" t="s">
        <v>445</v>
      </c>
      <c r="G42" s="238" t="s">
        <v>446</v>
      </c>
      <c r="H42" s="231" t="n">
        <f aca="false">TRUNC(G42*(1-(SINTÉTICA!$I$53)),2)</f>
        <v>12.19</v>
      </c>
      <c r="I42" s="241" t="n">
        <f aca="false">F42*H42/(SUM($K:$K))</f>
        <v>0.000693961418239824</v>
      </c>
      <c r="K42" s="233" t="n">
        <f aca="false">F42*H42</f>
        <v>156.032</v>
      </c>
    </row>
    <row r="43" customFormat="false" ht="14" hidden="false" customHeight="false" outlineLevel="0" collapsed="false">
      <c r="A43" s="238" t="s">
        <v>309</v>
      </c>
      <c r="B43" s="239" t="s">
        <v>122</v>
      </c>
      <c r="C43" s="239" t="s">
        <v>447</v>
      </c>
      <c r="D43" s="239" t="s">
        <v>352</v>
      </c>
      <c r="E43" s="240" t="s">
        <v>125</v>
      </c>
      <c r="F43" s="238" t="s">
        <v>448</v>
      </c>
      <c r="G43" s="238" t="s">
        <v>357</v>
      </c>
      <c r="H43" s="231" t="n">
        <f aca="false">TRUNC(G43*(1-(SINTÉTICA!$I$53)),2)</f>
        <v>20.55</v>
      </c>
      <c r="I43" s="241" t="n">
        <f aca="false">F43*H43/(SUM($K:$K))</f>
        <v>0.00066937937207483</v>
      </c>
      <c r="K43" s="233" t="n">
        <f aca="false">F43*H43</f>
        <v>150.504912</v>
      </c>
    </row>
    <row r="44" customFormat="false" ht="14" hidden="false" customHeight="false" outlineLevel="0" collapsed="false">
      <c r="A44" s="238" t="s">
        <v>186</v>
      </c>
      <c r="B44" s="239" t="s">
        <v>434</v>
      </c>
      <c r="C44" s="239" t="s">
        <v>449</v>
      </c>
      <c r="D44" s="239" t="s">
        <v>363</v>
      </c>
      <c r="E44" s="240" t="s">
        <v>450</v>
      </c>
      <c r="F44" s="238" t="s">
        <v>451</v>
      </c>
      <c r="G44" s="238" t="s">
        <v>452</v>
      </c>
      <c r="H44" s="231" t="n">
        <f aca="false">TRUNC(G44*(1-(SINTÉTICA!$I$53)),2)</f>
        <v>28.6</v>
      </c>
      <c r="I44" s="241" t="n">
        <f aca="false">F44*H44/(SUM($K:$K))</f>
        <v>0.000636000838342742</v>
      </c>
      <c r="K44" s="233" t="n">
        <f aca="false">F44*H44</f>
        <v>143</v>
      </c>
    </row>
    <row r="45" customFormat="false" ht="14" hidden="false" customHeight="false" outlineLevel="0" collapsed="false">
      <c r="A45" s="238" t="s">
        <v>312</v>
      </c>
      <c r="B45" s="239" t="s">
        <v>122</v>
      </c>
      <c r="C45" s="239" t="s">
        <v>453</v>
      </c>
      <c r="D45" s="239" t="s">
        <v>352</v>
      </c>
      <c r="E45" s="240" t="s">
        <v>125</v>
      </c>
      <c r="F45" s="238" t="s">
        <v>454</v>
      </c>
      <c r="G45" s="238" t="s">
        <v>455</v>
      </c>
      <c r="H45" s="231" t="n">
        <f aca="false">TRUNC(G45*(1-(SINTÉTICA!$I$53)),2)</f>
        <v>12.1</v>
      </c>
      <c r="I45" s="241" t="n">
        <f aca="false">F45*H45/(SUM($K:$K))</f>
        <v>0.000571359644129977</v>
      </c>
      <c r="K45" s="233" t="n">
        <f aca="false">F45*H45</f>
        <v>128.46591417</v>
      </c>
    </row>
    <row r="46" customFormat="false" ht="14" hidden="false" customHeight="false" outlineLevel="0" collapsed="false">
      <c r="A46" s="238" t="s">
        <v>220</v>
      </c>
      <c r="B46" s="239" t="s">
        <v>434</v>
      </c>
      <c r="C46" s="239" t="s">
        <v>456</v>
      </c>
      <c r="D46" s="239" t="s">
        <v>363</v>
      </c>
      <c r="E46" s="240" t="s">
        <v>457</v>
      </c>
      <c r="F46" s="238" t="s">
        <v>458</v>
      </c>
      <c r="G46" s="238" t="s">
        <v>459</v>
      </c>
      <c r="H46" s="231" t="n">
        <f aca="false">TRUNC(G46*(1-(SINTÉTICA!$I$53)),2)</f>
        <v>0.31</v>
      </c>
      <c r="I46" s="241" t="n">
        <f aca="false">F46*H46/(SUM($K:$K))</f>
        <v>0.000568042147364581</v>
      </c>
      <c r="K46" s="233" t="n">
        <f aca="false">F46*H46</f>
        <v>127.72</v>
      </c>
    </row>
    <row r="47" customFormat="false" ht="14" hidden="false" customHeight="false" outlineLevel="0" collapsed="false">
      <c r="A47" s="238" t="s">
        <v>218</v>
      </c>
      <c r="B47" s="239" t="s">
        <v>434</v>
      </c>
      <c r="C47" s="239" t="s">
        <v>460</v>
      </c>
      <c r="D47" s="239" t="s">
        <v>363</v>
      </c>
      <c r="E47" s="240" t="s">
        <v>457</v>
      </c>
      <c r="F47" s="238" t="s">
        <v>423</v>
      </c>
      <c r="G47" s="238" t="s">
        <v>461</v>
      </c>
      <c r="H47" s="231" t="n">
        <f aca="false">TRUNC(G47*(1-(SINTÉTICA!$I$53)),2)</f>
        <v>0.6</v>
      </c>
      <c r="I47" s="241" t="n">
        <f aca="false">F47*H47/(SUM($K:$K))</f>
        <v>0.000549718207127014</v>
      </c>
      <c r="K47" s="233" t="n">
        <f aca="false">F47*H47</f>
        <v>123.6</v>
      </c>
    </row>
    <row r="48" customFormat="false" ht="14" hidden="false" customHeight="false" outlineLevel="0" collapsed="false">
      <c r="A48" s="238" t="s">
        <v>306</v>
      </c>
      <c r="B48" s="239" t="s">
        <v>122</v>
      </c>
      <c r="C48" s="239" t="s">
        <v>462</v>
      </c>
      <c r="D48" s="239" t="s">
        <v>352</v>
      </c>
      <c r="E48" s="240" t="s">
        <v>125</v>
      </c>
      <c r="F48" s="238" t="s">
        <v>463</v>
      </c>
      <c r="G48" s="238" t="s">
        <v>464</v>
      </c>
      <c r="H48" s="231" t="n">
        <f aca="false">TRUNC(G48*(1-(SINTÉTICA!$I$53)),2)</f>
        <v>15.53</v>
      </c>
      <c r="I48" s="241" t="n">
        <f aca="false">F48*H48/(SUM($K:$K))</f>
        <v>0.000522056417668115</v>
      </c>
      <c r="K48" s="233" t="n">
        <f aca="false">F48*H48</f>
        <v>117.380454908</v>
      </c>
    </row>
    <row r="49" customFormat="false" ht="25" hidden="false" customHeight="false" outlineLevel="0" collapsed="false">
      <c r="A49" s="238" t="s">
        <v>244</v>
      </c>
      <c r="B49" s="239" t="s">
        <v>122</v>
      </c>
      <c r="C49" s="239" t="s">
        <v>465</v>
      </c>
      <c r="D49" s="239" t="s">
        <v>374</v>
      </c>
      <c r="E49" s="240" t="s">
        <v>125</v>
      </c>
      <c r="F49" s="238" t="s">
        <v>466</v>
      </c>
      <c r="G49" s="238" t="s">
        <v>467</v>
      </c>
      <c r="H49" s="231" t="n">
        <f aca="false">TRUNC(G49*(1-(SINTÉTICA!$I$53)),2)</f>
        <v>0.66</v>
      </c>
      <c r="I49" s="241" t="n">
        <f aca="false">F49*H49/(SUM($K:$K))</f>
        <v>0.000422138217978784</v>
      </c>
      <c r="K49" s="233" t="n">
        <f aca="false">F49*H49</f>
        <v>94.9146</v>
      </c>
    </row>
    <row r="50" customFormat="false" ht="14" hidden="false" customHeight="false" outlineLevel="0" collapsed="false">
      <c r="A50" s="238" t="s">
        <v>247</v>
      </c>
      <c r="B50" s="239" t="s">
        <v>122</v>
      </c>
      <c r="C50" s="239" t="s">
        <v>468</v>
      </c>
      <c r="D50" s="239" t="s">
        <v>432</v>
      </c>
      <c r="E50" s="240" t="s">
        <v>125</v>
      </c>
      <c r="F50" s="238" t="s">
        <v>378</v>
      </c>
      <c r="G50" s="238" t="s">
        <v>469</v>
      </c>
      <c r="H50" s="231" t="n">
        <f aca="false">TRUNC(G50*(1-(SINTÉTICA!$I$53)),2)</f>
        <v>0.06</v>
      </c>
      <c r="I50" s="241" t="n">
        <f aca="false">F50*H50/(SUM($K:$K))</f>
        <v>0.000405528506473997</v>
      </c>
      <c r="K50" s="233" t="n">
        <f aca="false">F50*H50</f>
        <v>91.180031424</v>
      </c>
    </row>
    <row r="51" customFormat="false" ht="25" hidden="false" customHeight="false" outlineLevel="0" collapsed="false">
      <c r="A51" s="238" t="s">
        <v>175</v>
      </c>
      <c r="B51" s="239" t="s">
        <v>153</v>
      </c>
      <c r="C51" s="239" t="s">
        <v>470</v>
      </c>
      <c r="D51" s="239" t="s">
        <v>432</v>
      </c>
      <c r="E51" s="240" t="s">
        <v>171</v>
      </c>
      <c r="F51" s="238" t="s">
        <v>405</v>
      </c>
      <c r="G51" s="238" t="s">
        <v>471</v>
      </c>
      <c r="H51" s="231" t="n">
        <f aca="false">TRUNC(G51*(1-(SINTÉTICA!$I$53)),2)</f>
        <v>88.78</v>
      </c>
      <c r="I51" s="241" t="n">
        <f aca="false">F51*H51/(SUM($K:$K))</f>
        <v>0.000394854226769711</v>
      </c>
      <c r="K51" s="233" t="n">
        <f aca="false">F51*H51</f>
        <v>88.78</v>
      </c>
    </row>
    <row r="52" customFormat="false" ht="50" hidden="false" customHeight="false" outlineLevel="0" collapsed="false">
      <c r="A52" s="238" t="s">
        <v>326</v>
      </c>
      <c r="B52" s="239" t="s">
        <v>122</v>
      </c>
      <c r="C52" s="239" t="s">
        <v>472</v>
      </c>
      <c r="D52" s="239" t="s">
        <v>374</v>
      </c>
      <c r="E52" s="240" t="s">
        <v>155</v>
      </c>
      <c r="F52" s="238" t="s">
        <v>473</v>
      </c>
      <c r="G52" s="238" t="s">
        <v>474</v>
      </c>
      <c r="H52" s="231" t="n">
        <f aca="false">TRUNC(G52*(1-(SINTÉTICA!$I$53)),2)</f>
        <v>90715.62</v>
      </c>
      <c r="I52" s="241" t="n">
        <f aca="false">F52*H52/(SUM($K:$K))</f>
        <v>0.000375785447128294</v>
      </c>
      <c r="K52" s="233" t="n">
        <f aca="false">F52*H52</f>
        <v>84.492528468</v>
      </c>
    </row>
    <row r="53" customFormat="false" ht="25" hidden="false" customHeight="false" outlineLevel="0" collapsed="false">
      <c r="A53" s="238" t="s">
        <v>205</v>
      </c>
      <c r="B53" s="239" t="s">
        <v>122</v>
      </c>
      <c r="C53" s="239" t="s">
        <v>475</v>
      </c>
      <c r="D53" s="239" t="s">
        <v>363</v>
      </c>
      <c r="E53" s="240" t="s">
        <v>155</v>
      </c>
      <c r="F53" s="238" t="s">
        <v>476</v>
      </c>
      <c r="G53" s="238" t="s">
        <v>477</v>
      </c>
      <c r="H53" s="231" t="n">
        <f aca="false">TRUNC(G53*(1-(SINTÉTICA!$I$53)),2)</f>
        <v>2.57</v>
      </c>
      <c r="I53" s="241" t="n">
        <f aca="false">F53*H53/(SUM($K:$K))</f>
        <v>0.000365767195421728</v>
      </c>
      <c r="K53" s="233" t="n">
        <f aca="false">F53*H53</f>
        <v>82.24</v>
      </c>
    </row>
    <row r="54" customFormat="false" ht="25" hidden="false" customHeight="false" outlineLevel="0" collapsed="false">
      <c r="A54" s="238" t="s">
        <v>210</v>
      </c>
      <c r="B54" s="239" t="s">
        <v>122</v>
      </c>
      <c r="C54" s="239" t="s">
        <v>478</v>
      </c>
      <c r="D54" s="239" t="s">
        <v>363</v>
      </c>
      <c r="E54" s="240" t="s">
        <v>155</v>
      </c>
      <c r="F54" s="238" t="s">
        <v>479</v>
      </c>
      <c r="G54" s="238" t="s">
        <v>480</v>
      </c>
      <c r="H54" s="231" t="n">
        <f aca="false">TRUNC(G54*(1-(SINTÉTICA!$I$53)),2)</f>
        <v>4.51</v>
      </c>
      <c r="I54" s="241" t="n">
        <f aca="false">F54*H54/(SUM($K:$K))</f>
        <v>0.00032093580765603</v>
      </c>
      <c r="K54" s="233" t="n">
        <f aca="false">F54*H54</f>
        <v>72.16</v>
      </c>
    </row>
    <row r="55" customFormat="false" ht="25" hidden="false" customHeight="false" outlineLevel="0" collapsed="false">
      <c r="A55" s="238" t="s">
        <v>232</v>
      </c>
      <c r="B55" s="239" t="s">
        <v>122</v>
      </c>
      <c r="C55" s="239" t="s">
        <v>481</v>
      </c>
      <c r="D55" s="239" t="s">
        <v>363</v>
      </c>
      <c r="E55" s="240" t="s">
        <v>155</v>
      </c>
      <c r="F55" s="238" t="s">
        <v>482</v>
      </c>
      <c r="G55" s="238" t="s">
        <v>483</v>
      </c>
      <c r="H55" s="231" t="n">
        <f aca="false">TRUNC(G55*(1-(SINTÉTICA!$I$53)),2)</f>
        <v>1.65</v>
      </c>
      <c r="I55" s="241" t="n">
        <f aca="false">F55*H55/(SUM($K:$K))</f>
        <v>0.000293538848465881</v>
      </c>
      <c r="K55" s="233" t="n">
        <f aca="false">F55*H55</f>
        <v>66</v>
      </c>
    </row>
    <row r="56" customFormat="false" ht="14" hidden="false" customHeight="false" outlineLevel="0" collapsed="false">
      <c r="A56" s="238" t="s">
        <v>230</v>
      </c>
      <c r="B56" s="239" t="s">
        <v>122</v>
      </c>
      <c r="C56" s="239" t="s">
        <v>484</v>
      </c>
      <c r="D56" s="239" t="s">
        <v>363</v>
      </c>
      <c r="E56" s="240" t="s">
        <v>155</v>
      </c>
      <c r="F56" s="238" t="s">
        <v>402</v>
      </c>
      <c r="G56" s="238" t="s">
        <v>485</v>
      </c>
      <c r="H56" s="231" t="n">
        <f aca="false">TRUNC(G56*(1-(SINTÉTICA!$I$53)),2)</f>
        <v>8.07</v>
      </c>
      <c r="I56" s="241" t="n">
        <f aca="false">F56*H56/(SUM($K:$K))</f>
        <v>0.000287134364499353</v>
      </c>
      <c r="K56" s="233" t="n">
        <f aca="false">F56*H56</f>
        <v>64.56</v>
      </c>
    </row>
    <row r="57" customFormat="false" ht="25" hidden="false" customHeight="false" outlineLevel="0" collapsed="false">
      <c r="A57" s="238" t="s">
        <v>147</v>
      </c>
      <c r="B57" s="239" t="s">
        <v>122</v>
      </c>
      <c r="C57" s="239" t="s">
        <v>486</v>
      </c>
      <c r="D57" s="239" t="s">
        <v>363</v>
      </c>
      <c r="E57" s="240" t="s">
        <v>195</v>
      </c>
      <c r="F57" s="238" t="s">
        <v>487</v>
      </c>
      <c r="G57" s="238" t="s">
        <v>488</v>
      </c>
      <c r="H57" s="231" t="n">
        <f aca="false">TRUNC(G57*(1-(SINTÉTICA!$I$53)),2)</f>
        <v>10.03</v>
      </c>
      <c r="I57" s="241" t="n">
        <f aca="false">F57*H57/(SUM($K:$K))</f>
        <v>0.00028549766304124</v>
      </c>
      <c r="K57" s="233" t="n">
        <f aca="false">F57*H57</f>
        <v>64.192</v>
      </c>
    </row>
    <row r="58" customFormat="false" ht="25" hidden="false" customHeight="false" outlineLevel="0" collapsed="false">
      <c r="A58" s="238" t="s">
        <v>211</v>
      </c>
      <c r="B58" s="239" t="s">
        <v>122</v>
      </c>
      <c r="C58" s="239" t="s">
        <v>489</v>
      </c>
      <c r="D58" s="239" t="s">
        <v>363</v>
      </c>
      <c r="E58" s="240" t="s">
        <v>155</v>
      </c>
      <c r="F58" s="238" t="s">
        <v>476</v>
      </c>
      <c r="G58" s="238" t="s">
        <v>490</v>
      </c>
      <c r="H58" s="231" t="n">
        <f aca="false">TRUNC(G58*(1-(SINTÉTICA!$I$53)),2)</f>
        <v>1.68</v>
      </c>
      <c r="I58" s="241" t="n">
        <f aca="false">F58*H58/(SUM($K:$K))</f>
        <v>0.00023910073475039</v>
      </c>
      <c r="K58" s="233" t="n">
        <f aca="false">F58*H58</f>
        <v>53.76</v>
      </c>
    </row>
    <row r="59" customFormat="false" ht="14" hidden="false" customHeight="false" outlineLevel="0" collapsed="false">
      <c r="A59" s="238" t="s">
        <v>219</v>
      </c>
      <c r="B59" s="239" t="s">
        <v>434</v>
      </c>
      <c r="C59" s="239" t="s">
        <v>491</v>
      </c>
      <c r="D59" s="239" t="s">
        <v>363</v>
      </c>
      <c r="E59" s="240" t="s">
        <v>457</v>
      </c>
      <c r="F59" s="238" t="s">
        <v>423</v>
      </c>
      <c r="G59" s="238" t="s">
        <v>492</v>
      </c>
      <c r="H59" s="231" t="n">
        <f aca="false">TRUNC(G59*(1-(SINTÉTICA!$I$53)),2)</f>
        <v>0.25</v>
      </c>
      <c r="I59" s="241" t="n">
        <f aca="false">F59*H59/(SUM($K:$K))</f>
        <v>0.000229049252969589</v>
      </c>
      <c r="K59" s="233" t="n">
        <f aca="false">F59*H59</f>
        <v>51.5</v>
      </c>
    </row>
    <row r="60" customFormat="false" ht="14" hidden="false" customHeight="false" outlineLevel="0" collapsed="false">
      <c r="A60" s="238" t="s">
        <v>221</v>
      </c>
      <c r="B60" s="239" t="s">
        <v>434</v>
      </c>
      <c r="C60" s="239" t="s">
        <v>493</v>
      </c>
      <c r="D60" s="239" t="s">
        <v>363</v>
      </c>
      <c r="E60" s="240" t="s">
        <v>457</v>
      </c>
      <c r="F60" s="238" t="s">
        <v>423</v>
      </c>
      <c r="G60" s="238" t="s">
        <v>494</v>
      </c>
      <c r="H60" s="231" t="n">
        <f aca="false">TRUNC(G60*(1-(SINTÉTICA!$I$53)),2)</f>
        <v>0.23</v>
      </c>
      <c r="I60" s="241" t="n">
        <f aca="false">F60*H60/(SUM($K:$K))</f>
        <v>0.000210725312732022</v>
      </c>
      <c r="K60" s="233" t="n">
        <f aca="false">F60*H60</f>
        <v>47.38</v>
      </c>
    </row>
    <row r="61" customFormat="false" ht="14" hidden="false" customHeight="false" outlineLevel="0" collapsed="false">
      <c r="A61" s="238" t="s">
        <v>278</v>
      </c>
      <c r="B61" s="239" t="s">
        <v>122</v>
      </c>
      <c r="C61" s="239" t="s">
        <v>495</v>
      </c>
      <c r="D61" s="239" t="s">
        <v>352</v>
      </c>
      <c r="E61" s="240" t="s">
        <v>125</v>
      </c>
      <c r="F61" s="238" t="s">
        <v>496</v>
      </c>
      <c r="G61" s="238" t="s">
        <v>357</v>
      </c>
      <c r="H61" s="231" t="n">
        <f aca="false">TRUNC(G61*(1-(SINTÉTICA!$I$53)),2)</f>
        <v>20.55</v>
      </c>
      <c r="I61" s="241" t="n">
        <f aca="false">F61*H61/(SUM($K:$K))</f>
        <v>0.000147610332977746</v>
      </c>
      <c r="K61" s="233" t="n">
        <f aca="false">F61*H61</f>
        <v>33.189072</v>
      </c>
    </row>
    <row r="62" customFormat="false" ht="25" hidden="false" customHeight="false" outlineLevel="0" collapsed="false">
      <c r="A62" s="238" t="s">
        <v>216</v>
      </c>
      <c r="B62" s="239" t="s">
        <v>122</v>
      </c>
      <c r="C62" s="239" t="s">
        <v>497</v>
      </c>
      <c r="D62" s="239" t="s">
        <v>363</v>
      </c>
      <c r="E62" s="240" t="s">
        <v>155</v>
      </c>
      <c r="F62" s="238" t="s">
        <v>479</v>
      </c>
      <c r="G62" s="238" t="s">
        <v>483</v>
      </c>
      <c r="H62" s="231" t="n">
        <f aca="false">TRUNC(G62*(1-(SINTÉTICA!$I$53)),2)</f>
        <v>1.65</v>
      </c>
      <c r="I62" s="241" t="n">
        <f aca="false">F62*H62/(SUM($K:$K))</f>
        <v>0.000117415539386352</v>
      </c>
      <c r="K62" s="233" t="n">
        <f aca="false">F62*H62</f>
        <v>26.4</v>
      </c>
    </row>
    <row r="63" customFormat="false" ht="14" hidden="false" customHeight="false" outlineLevel="0" collapsed="false">
      <c r="A63" s="238" t="s">
        <v>209</v>
      </c>
      <c r="B63" s="239" t="s">
        <v>122</v>
      </c>
      <c r="C63" s="239" t="s">
        <v>498</v>
      </c>
      <c r="D63" s="239" t="s">
        <v>363</v>
      </c>
      <c r="E63" s="240" t="s">
        <v>155</v>
      </c>
      <c r="F63" s="238" t="s">
        <v>499</v>
      </c>
      <c r="G63" s="238" t="s">
        <v>500</v>
      </c>
      <c r="H63" s="231" t="n">
        <f aca="false">TRUNC(G63*(1-(SINTÉTICA!$I$53)),2)</f>
        <v>0.24</v>
      </c>
      <c r="I63" s="241" t="n">
        <f aca="false">F63*H63/(SUM($K:$K))</f>
        <v>0.000102471743464453</v>
      </c>
      <c r="K63" s="233" t="n">
        <f aca="false">F63*H63</f>
        <v>23.04</v>
      </c>
    </row>
    <row r="64" customFormat="false" ht="25" hidden="false" customHeight="false" outlineLevel="0" collapsed="false">
      <c r="A64" s="238" t="s">
        <v>337</v>
      </c>
      <c r="B64" s="239" t="s">
        <v>122</v>
      </c>
      <c r="C64" s="239" t="s">
        <v>501</v>
      </c>
      <c r="D64" s="239" t="s">
        <v>374</v>
      </c>
      <c r="E64" s="240" t="s">
        <v>125</v>
      </c>
      <c r="F64" s="238" t="s">
        <v>502</v>
      </c>
      <c r="G64" s="238" t="s">
        <v>503</v>
      </c>
      <c r="H64" s="231" t="n">
        <f aca="false">TRUNC(G64*(1-(SINTÉTICA!$I$53)),2)</f>
        <v>0.76</v>
      </c>
      <c r="I64" s="241" t="n">
        <f aca="false">F64*H64/(SUM($K:$K))</f>
        <v>7.95405338806518E-005</v>
      </c>
      <c r="K64" s="233" t="n">
        <f aca="false">F64*H64</f>
        <v>17.884090176</v>
      </c>
    </row>
    <row r="65" customFormat="false" ht="14" hidden="false" customHeight="false" outlineLevel="0" collapsed="false">
      <c r="A65" s="238" t="s">
        <v>258</v>
      </c>
      <c r="B65" s="239" t="s">
        <v>122</v>
      </c>
      <c r="C65" s="239" t="s">
        <v>504</v>
      </c>
      <c r="D65" s="239" t="s">
        <v>352</v>
      </c>
      <c r="E65" s="240" t="s">
        <v>125</v>
      </c>
      <c r="F65" s="238" t="s">
        <v>505</v>
      </c>
      <c r="G65" s="238" t="s">
        <v>360</v>
      </c>
      <c r="H65" s="231" t="n">
        <f aca="false">TRUNC(G65*(1-(SINTÉTICA!$I$53)),2)</f>
        <v>13.35</v>
      </c>
      <c r="I65" s="241" t="n">
        <f aca="false">F65*H65/(SUM($K:$K))</f>
        <v>7.06033626790534E-005</v>
      </c>
      <c r="K65" s="233" t="n">
        <f aca="false">F65*H65</f>
        <v>15.87463452</v>
      </c>
    </row>
    <row r="66" customFormat="false" ht="25" hidden="false" customHeight="false" outlineLevel="0" collapsed="false">
      <c r="A66" s="238" t="s">
        <v>336</v>
      </c>
      <c r="B66" s="239" t="s">
        <v>122</v>
      </c>
      <c r="C66" s="239" t="s">
        <v>506</v>
      </c>
      <c r="D66" s="239" t="s">
        <v>374</v>
      </c>
      <c r="E66" s="240" t="s">
        <v>155</v>
      </c>
      <c r="F66" s="238" t="s">
        <v>507</v>
      </c>
      <c r="G66" s="238" t="s">
        <v>508</v>
      </c>
      <c r="H66" s="231" t="n">
        <f aca="false">TRUNC(G66*(1-(SINTÉTICA!$I$53)),2)</f>
        <v>19151.02</v>
      </c>
      <c r="I66" s="241" t="n">
        <f aca="false">F66*H66/(SUM($K:$K))</f>
        <v>6.17776292405143E-005</v>
      </c>
      <c r="K66" s="233" t="n">
        <f aca="false">F66*H66</f>
        <v>13.890234806</v>
      </c>
    </row>
    <row r="67" customFormat="false" ht="25" hidden="false" customHeight="false" outlineLevel="0" collapsed="false">
      <c r="A67" s="238" t="s">
        <v>238</v>
      </c>
      <c r="B67" s="239" t="s">
        <v>122</v>
      </c>
      <c r="C67" s="239" t="s">
        <v>509</v>
      </c>
      <c r="D67" s="239" t="s">
        <v>363</v>
      </c>
      <c r="E67" s="240" t="s">
        <v>155</v>
      </c>
      <c r="F67" s="238" t="s">
        <v>510</v>
      </c>
      <c r="G67" s="238" t="s">
        <v>511</v>
      </c>
      <c r="H67" s="231" t="n">
        <f aca="false">TRUNC(G67*(1-(SINTÉTICA!$I$53)),2)</f>
        <v>3.02</v>
      </c>
      <c r="I67" s="241" t="n">
        <f aca="false">F67*H67/(SUM($K:$K))</f>
        <v>5.48010344735939E-005</v>
      </c>
      <c r="K67" s="233" t="n">
        <f aca="false">F67*H67</f>
        <v>12.3216</v>
      </c>
    </row>
    <row r="68" customFormat="false" ht="25" hidden="false" customHeight="false" outlineLevel="0" collapsed="false">
      <c r="A68" s="238" t="s">
        <v>341</v>
      </c>
      <c r="B68" s="239" t="s">
        <v>122</v>
      </c>
      <c r="C68" s="239" t="s">
        <v>512</v>
      </c>
      <c r="D68" s="239" t="s">
        <v>374</v>
      </c>
      <c r="E68" s="240" t="s">
        <v>125</v>
      </c>
      <c r="F68" s="238" t="s">
        <v>513</v>
      </c>
      <c r="G68" s="238" t="s">
        <v>514</v>
      </c>
      <c r="H68" s="231" t="n">
        <f aca="false">TRUNC(G68*(1-(SINTÉTICA!$I$53)),2)</f>
        <v>1.15</v>
      </c>
      <c r="I68" s="241" t="n">
        <f aca="false">F68*H68/(SUM($K:$K))</f>
        <v>5.33845615150055E-005</v>
      </c>
      <c r="K68" s="233" t="n">
        <f aca="false">F68*H68</f>
        <v>12.00311672</v>
      </c>
    </row>
    <row r="69" customFormat="false" ht="25" hidden="false" customHeight="false" outlineLevel="0" collapsed="false">
      <c r="A69" s="238" t="s">
        <v>149</v>
      </c>
      <c r="B69" s="239" t="s">
        <v>122</v>
      </c>
      <c r="C69" s="239" t="s">
        <v>515</v>
      </c>
      <c r="D69" s="239" t="s">
        <v>363</v>
      </c>
      <c r="E69" s="240" t="s">
        <v>195</v>
      </c>
      <c r="F69" s="238" t="s">
        <v>414</v>
      </c>
      <c r="G69" s="238" t="s">
        <v>516</v>
      </c>
      <c r="H69" s="231" t="n">
        <f aca="false">TRUNC(G69*(1-(SINTÉTICA!$I$53)),2)</f>
        <v>7.45</v>
      </c>
      <c r="I69" s="241" t="n">
        <f aca="false">F69*H69/(SUM($K:$K))</f>
        <v>5.30148950562622E-005</v>
      </c>
      <c r="K69" s="233" t="n">
        <f aca="false">F69*H69</f>
        <v>11.92</v>
      </c>
    </row>
    <row r="70" customFormat="false" ht="14" hidden="false" customHeight="false" outlineLevel="0" collapsed="false">
      <c r="A70" s="238" t="s">
        <v>207</v>
      </c>
      <c r="B70" s="239" t="s">
        <v>434</v>
      </c>
      <c r="C70" s="239" t="s">
        <v>517</v>
      </c>
      <c r="D70" s="239" t="s">
        <v>363</v>
      </c>
      <c r="E70" s="240" t="s">
        <v>457</v>
      </c>
      <c r="F70" s="238" t="s">
        <v>499</v>
      </c>
      <c r="G70" s="238" t="s">
        <v>518</v>
      </c>
      <c r="H70" s="231" t="n">
        <f aca="false">TRUNC(G70*(1-(SINTÉTICA!$I$53)),2)</f>
        <v>0.12</v>
      </c>
      <c r="I70" s="241" t="n">
        <f aca="false">F70*H70/(SUM($K:$K))</f>
        <v>5.12358717322265E-005</v>
      </c>
      <c r="K70" s="233" t="n">
        <f aca="false">F70*H70</f>
        <v>11.52</v>
      </c>
    </row>
    <row r="71" customFormat="false" ht="14" hidden="false" customHeight="false" outlineLevel="0" collapsed="false">
      <c r="A71" s="238" t="s">
        <v>185</v>
      </c>
      <c r="B71" s="239" t="s">
        <v>434</v>
      </c>
      <c r="C71" s="239" t="s">
        <v>519</v>
      </c>
      <c r="D71" s="239" t="s">
        <v>363</v>
      </c>
      <c r="E71" s="240" t="s">
        <v>457</v>
      </c>
      <c r="F71" s="238" t="s">
        <v>520</v>
      </c>
      <c r="G71" s="238" t="s">
        <v>521</v>
      </c>
      <c r="H71" s="231" t="n">
        <f aca="false">TRUNC(G71*(1-(SINTÉTICA!$I$53)),2)</f>
        <v>15.09</v>
      </c>
      <c r="I71" s="241" t="n">
        <f aca="false">F71*H71/(SUM($K:$K))</f>
        <v>5.03352411744335E-005</v>
      </c>
      <c r="K71" s="233" t="n">
        <f aca="false">F71*H71</f>
        <v>11.3175</v>
      </c>
    </row>
    <row r="72" customFormat="false" ht="25" hidden="false" customHeight="false" outlineLevel="0" collapsed="false">
      <c r="A72" s="238" t="s">
        <v>313</v>
      </c>
      <c r="B72" s="239" t="s">
        <v>122</v>
      </c>
      <c r="C72" s="239" t="s">
        <v>522</v>
      </c>
      <c r="D72" s="239" t="s">
        <v>374</v>
      </c>
      <c r="E72" s="240" t="s">
        <v>125</v>
      </c>
      <c r="F72" s="238" t="s">
        <v>523</v>
      </c>
      <c r="G72" s="238" t="s">
        <v>524</v>
      </c>
      <c r="H72" s="231" t="n">
        <f aca="false">TRUNC(G72*(1-(SINTÉTICA!$I$53)),2)</f>
        <v>0.62</v>
      </c>
      <c r="I72" s="241" t="n">
        <f aca="false">F72*H72/(SUM($K:$K))</f>
        <v>4.96347507405944E-005</v>
      </c>
      <c r="K72" s="233" t="n">
        <f aca="false">F72*H72</f>
        <v>11.16</v>
      </c>
    </row>
    <row r="73" customFormat="false" ht="25" hidden="false" customHeight="false" outlineLevel="0" collapsed="false">
      <c r="A73" s="238" t="s">
        <v>259</v>
      </c>
      <c r="B73" s="239" t="s">
        <v>122</v>
      </c>
      <c r="C73" s="239" t="s">
        <v>525</v>
      </c>
      <c r="D73" s="239" t="s">
        <v>374</v>
      </c>
      <c r="E73" s="240" t="s">
        <v>125</v>
      </c>
      <c r="F73" s="238" t="s">
        <v>526</v>
      </c>
      <c r="G73" s="238" t="s">
        <v>527</v>
      </c>
      <c r="H73" s="231" t="n">
        <f aca="false">TRUNC(G73*(1-(SINTÉTICA!$I$53)),2)</f>
        <v>0.94</v>
      </c>
      <c r="I73" s="241" t="n">
        <f aca="false">F73*H73/(SUM($K:$K))</f>
        <v>3.6288517763679E-005</v>
      </c>
      <c r="K73" s="233" t="n">
        <f aca="false">F73*H73</f>
        <v>8.1592</v>
      </c>
    </row>
    <row r="74" customFormat="false" ht="25" hidden="false" customHeight="false" outlineLevel="0" collapsed="false">
      <c r="A74" s="238" t="s">
        <v>339</v>
      </c>
      <c r="B74" s="239" t="s">
        <v>122</v>
      </c>
      <c r="C74" s="239" t="s">
        <v>528</v>
      </c>
      <c r="D74" s="239" t="s">
        <v>374</v>
      </c>
      <c r="E74" s="240" t="s">
        <v>125</v>
      </c>
      <c r="F74" s="238" t="s">
        <v>529</v>
      </c>
      <c r="G74" s="238" t="s">
        <v>530</v>
      </c>
      <c r="H74" s="231" t="n">
        <f aca="false">TRUNC(G74*(1-(SINTÉTICA!$I$53)),2)</f>
        <v>1.09</v>
      </c>
      <c r="I74" s="241" t="n">
        <f aca="false">F74*H74/(SUM($K:$K))</f>
        <v>3.49044376175793E-005</v>
      </c>
      <c r="K74" s="233" t="n">
        <f aca="false">F74*H74</f>
        <v>7.848</v>
      </c>
    </row>
    <row r="75" customFormat="false" ht="25" hidden="false" customHeight="false" outlineLevel="0" collapsed="false">
      <c r="A75" s="238" t="s">
        <v>342</v>
      </c>
      <c r="B75" s="239" t="s">
        <v>122</v>
      </c>
      <c r="C75" s="239" t="s">
        <v>531</v>
      </c>
      <c r="D75" s="239" t="s">
        <v>374</v>
      </c>
      <c r="E75" s="240" t="s">
        <v>125</v>
      </c>
      <c r="F75" s="238" t="s">
        <v>513</v>
      </c>
      <c r="G75" s="238" t="s">
        <v>532</v>
      </c>
      <c r="H75" s="231" t="n">
        <f aca="false">TRUNC(G75*(1-(SINTÉTICA!$I$53)),2)</f>
        <v>0.56</v>
      </c>
      <c r="I75" s="241" t="n">
        <f aca="false">F75*H75/(SUM($K:$K))</f>
        <v>2.59959603899157E-005</v>
      </c>
      <c r="K75" s="233" t="n">
        <f aca="false">F75*H75</f>
        <v>5.844995968</v>
      </c>
    </row>
    <row r="76" customFormat="false" ht="25" hidden="false" customHeight="false" outlineLevel="0" collapsed="false">
      <c r="A76" s="238" t="s">
        <v>340</v>
      </c>
      <c r="B76" s="239" t="s">
        <v>122</v>
      </c>
      <c r="C76" s="239" t="s">
        <v>533</v>
      </c>
      <c r="D76" s="239" t="s">
        <v>374</v>
      </c>
      <c r="E76" s="240" t="s">
        <v>125</v>
      </c>
      <c r="F76" s="238" t="s">
        <v>529</v>
      </c>
      <c r="G76" s="238" t="s">
        <v>534</v>
      </c>
      <c r="H76" s="231" t="n">
        <f aca="false">TRUNC(G76*(1-(SINTÉTICA!$I$53)),2)</f>
        <v>0.74</v>
      </c>
      <c r="I76" s="241" t="n">
        <f aca="false">F76*H76/(SUM($K:$K))</f>
        <v>2.36965906761548E-005</v>
      </c>
      <c r="K76" s="233" t="n">
        <f aca="false">F76*H76</f>
        <v>5.328</v>
      </c>
    </row>
    <row r="77" customFormat="false" ht="14" hidden="false" customHeight="false" outlineLevel="0" collapsed="false">
      <c r="A77" s="238" t="s">
        <v>148</v>
      </c>
      <c r="B77" s="239" t="s">
        <v>122</v>
      </c>
      <c r="C77" s="239" t="s">
        <v>535</v>
      </c>
      <c r="D77" s="239" t="s">
        <v>363</v>
      </c>
      <c r="E77" s="240" t="s">
        <v>536</v>
      </c>
      <c r="F77" s="238" t="s">
        <v>537</v>
      </c>
      <c r="G77" s="238" t="s">
        <v>538</v>
      </c>
      <c r="H77" s="231" t="n">
        <f aca="false">TRUNC(G77*(1-(SINTÉTICA!$I$53)),2)</f>
        <v>24.45</v>
      </c>
      <c r="I77" s="241" t="n">
        <f aca="false">F77*H77/(SUM($K:$K))</f>
        <v>1.91387329199754E-005</v>
      </c>
      <c r="K77" s="233" t="n">
        <f aca="false">F77*H77</f>
        <v>4.3032</v>
      </c>
    </row>
    <row r="78" customFormat="false" ht="25" hidden="false" customHeight="false" outlineLevel="0" collapsed="false">
      <c r="A78" s="238" t="s">
        <v>233</v>
      </c>
      <c r="B78" s="239" t="s">
        <v>122</v>
      </c>
      <c r="C78" s="239" t="s">
        <v>539</v>
      </c>
      <c r="D78" s="239" t="s">
        <v>363</v>
      </c>
      <c r="E78" s="240" t="s">
        <v>155</v>
      </c>
      <c r="F78" s="238" t="s">
        <v>371</v>
      </c>
      <c r="G78" s="238" t="s">
        <v>540</v>
      </c>
      <c r="H78" s="231" t="n">
        <f aca="false">TRUNC(G78*(1-(SINTÉTICA!$I$53)),2)</f>
        <v>1.96</v>
      </c>
      <c r="I78" s="241" t="n">
        <f aca="false">F78*H78/(SUM($K:$K))</f>
        <v>1.74344285755493E-005</v>
      </c>
      <c r="K78" s="233" t="n">
        <f aca="false">F78*H78</f>
        <v>3.92</v>
      </c>
    </row>
    <row r="79" customFormat="false" ht="25" hidden="false" customHeight="false" outlineLevel="0" collapsed="false">
      <c r="A79" s="238" t="s">
        <v>260</v>
      </c>
      <c r="B79" s="239" t="s">
        <v>122</v>
      </c>
      <c r="C79" s="239" t="s">
        <v>541</v>
      </c>
      <c r="D79" s="239" t="s">
        <v>374</v>
      </c>
      <c r="E79" s="240" t="s">
        <v>125</v>
      </c>
      <c r="F79" s="238" t="s">
        <v>526</v>
      </c>
      <c r="G79" s="238" t="s">
        <v>542</v>
      </c>
      <c r="H79" s="231" t="n">
        <f aca="false">TRUNC(G79*(1-(SINTÉTICA!$I$53)),2)</f>
        <v>0.32</v>
      </c>
      <c r="I79" s="241" t="n">
        <f aca="false">F79*H79/(SUM($K:$K))</f>
        <v>1.23535379621035E-005</v>
      </c>
      <c r="K79" s="233" t="n">
        <f aca="false">F79*H79</f>
        <v>2.7776</v>
      </c>
    </row>
    <row r="80" customFormat="false" ht="14" hidden="false" customHeight="false" outlineLevel="0" collapsed="false">
      <c r="A80" s="238" t="s">
        <v>284</v>
      </c>
      <c r="B80" s="239" t="s">
        <v>122</v>
      </c>
      <c r="C80" s="239" t="s">
        <v>543</v>
      </c>
      <c r="D80" s="239" t="s">
        <v>363</v>
      </c>
      <c r="E80" s="240" t="s">
        <v>536</v>
      </c>
      <c r="F80" s="238" t="s">
        <v>544</v>
      </c>
      <c r="G80" s="238" t="s">
        <v>467</v>
      </c>
      <c r="H80" s="231" t="n">
        <f aca="false">TRUNC(G80*(1-(SINTÉTICA!$I$53)),2)</f>
        <v>0.66</v>
      </c>
      <c r="I80" s="241" t="n">
        <f aca="false">F80*H80/(SUM($K:$K))</f>
        <v>9.95774888454833E-006</v>
      </c>
      <c r="K80" s="233" t="n">
        <f aca="false">F80*H80</f>
        <v>2.238924864</v>
      </c>
    </row>
    <row r="81" customFormat="false" ht="25" hidden="false" customHeight="false" outlineLevel="0" collapsed="false">
      <c r="A81" s="238" t="s">
        <v>279</v>
      </c>
      <c r="B81" s="239" t="s">
        <v>122</v>
      </c>
      <c r="C81" s="239" t="s">
        <v>545</v>
      </c>
      <c r="D81" s="239" t="s">
        <v>374</v>
      </c>
      <c r="E81" s="240" t="s">
        <v>125</v>
      </c>
      <c r="F81" s="238" t="s">
        <v>414</v>
      </c>
      <c r="G81" s="238" t="s">
        <v>546</v>
      </c>
      <c r="H81" s="231" t="n">
        <f aca="false">TRUNC(G81*(1-(SINTÉTICA!$I$53)),2)</f>
        <v>1.26</v>
      </c>
      <c r="I81" s="241" t="n">
        <f aca="false">F81*H81/(SUM($K:$K))</f>
        <v>8.96627755313964E-006</v>
      </c>
      <c r="K81" s="233" t="n">
        <f aca="false">F81*H81</f>
        <v>2.016</v>
      </c>
    </row>
    <row r="82" customFormat="false" ht="25" hidden="false" customHeight="false" outlineLevel="0" collapsed="false">
      <c r="A82" s="238" t="s">
        <v>283</v>
      </c>
      <c r="B82" s="239" t="s">
        <v>122</v>
      </c>
      <c r="C82" s="239" t="s">
        <v>547</v>
      </c>
      <c r="D82" s="239" t="s">
        <v>363</v>
      </c>
      <c r="E82" s="240" t="s">
        <v>139</v>
      </c>
      <c r="F82" s="238" t="s">
        <v>548</v>
      </c>
      <c r="G82" s="238" t="s">
        <v>549</v>
      </c>
      <c r="H82" s="231" t="n">
        <f aca="false">TRUNC(G82*(1-(SINTÉTICA!$I$53)),2)</f>
        <v>150</v>
      </c>
      <c r="I82" s="241" t="n">
        <f aca="false">F82*H82/(SUM($K:$K))</f>
        <v>8.82644631987044E-006</v>
      </c>
      <c r="K82" s="233" t="n">
        <f aca="false">F82*H82</f>
        <v>1.98456</v>
      </c>
    </row>
    <row r="83" customFormat="false" ht="25" hidden="false" customHeight="false" outlineLevel="0" collapsed="false">
      <c r="A83" s="238" t="s">
        <v>246</v>
      </c>
      <c r="B83" s="239" t="s">
        <v>122</v>
      </c>
      <c r="C83" s="239" t="s">
        <v>550</v>
      </c>
      <c r="D83" s="239" t="s">
        <v>374</v>
      </c>
      <c r="E83" s="240" t="s">
        <v>125</v>
      </c>
      <c r="F83" s="238" t="s">
        <v>466</v>
      </c>
      <c r="G83" s="238" t="s">
        <v>551</v>
      </c>
      <c r="H83" s="231" t="n">
        <f aca="false">TRUNC(G83*(1-(SINTÉTICA!$I$53)),2)</f>
        <v>0.01</v>
      </c>
      <c r="I83" s="241" t="n">
        <f aca="false">F83*H83/(SUM($K:$K))</f>
        <v>6.39603360573915E-006</v>
      </c>
      <c r="K83" s="233" t="n">
        <f aca="false">F83*H83</f>
        <v>1.4381</v>
      </c>
    </row>
    <row r="84" customFormat="false" ht="25" hidden="false" customHeight="false" outlineLevel="0" collapsed="false">
      <c r="A84" s="238" t="s">
        <v>314</v>
      </c>
      <c r="B84" s="239" t="s">
        <v>122</v>
      </c>
      <c r="C84" s="239" t="s">
        <v>552</v>
      </c>
      <c r="D84" s="239" t="s">
        <v>374</v>
      </c>
      <c r="E84" s="240" t="s">
        <v>125</v>
      </c>
      <c r="F84" s="238" t="s">
        <v>523</v>
      </c>
      <c r="G84" s="238" t="s">
        <v>553</v>
      </c>
      <c r="H84" s="231" t="n">
        <f aca="false">TRUNC(G84*(1-(SINTÉTICA!$I$53)),2)</f>
        <v>0.07</v>
      </c>
      <c r="I84" s="241" t="n">
        <f aca="false">F84*H84/(SUM($K:$K))</f>
        <v>5.60392347071228E-006</v>
      </c>
      <c r="K84" s="233" t="n">
        <f aca="false">F84*H84</f>
        <v>1.26</v>
      </c>
    </row>
    <row r="85" customFormat="false" ht="25" hidden="false" customHeight="false" outlineLevel="0" collapsed="false">
      <c r="A85" s="238" t="s">
        <v>285</v>
      </c>
      <c r="B85" s="239" t="s">
        <v>122</v>
      </c>
      <c r="C85" s="239" t="s">
        <v>554</v>
      </c>
      <c r="D85" s="239" t="s">
        <v>363</v>
      </c>
      <c r="E85" s="240" t="s">
        <v>139</v>
      </c>
      <c r="F85" s="238" t="s">
        <v>555</v>
      </c>
      <c r="G85" s="238" t="s">
        <v>556</v>
      </c>
      <c r="H85" s="231" t="n">
        <f aca="false">TRUNC(G85*(1-(SINTÉTICA!$I$53)),2)</f>
        <v>86.68</v>
      </c>
      <c r="I85" s="241" t="n">
        <f aca="false">F85*H85/(SUM($K:$K))</f>
        <v>3.56647039467153E-006</v>
      </c>
      <c r="K85" s="233" t="n">
        <f aca="false">F85*H85</f>
        <v>0.801894016</v>
      </c>
    </row>
    <row r="86" customFormat="false" ht="25" hidden="false" customHeight="false" outlineLevel="0" collapsed="false">
      <c r="A86" s="238" t="s">
        <v>280</v>
      </c>
      <c r="B86" s="239" t="s">
        <v>122</v>
      </c>
      <c r="C86" s="239" t="s">
        <v>557</v>
      </c>
      <c r="D86" s="239" t="s">
        <v>374</v>
      </c>
      <c r="E86" s="240" t="s">
        <v>125</v>
      </c>
      <c r="F86" s="238" t="s">
        <v>414</v>
      </c>
      <c r="G86" s="238" t="s">
        <v>558</v>
      </c>
      <c r="H86" s="231" t="n">
        <f aca="false">TRUNC(G86*(1-(SINTÉTICA!$I$53)),2)</f>
        <v>0.45</v>
      </c>
      <c r="I86" s="241" t="n">
        <f aca="false">F86*H86/(SUM($K:$K))</f>
        <v>3.20224198326416E-006</v>
      </c>
      <c r="K86" s="233" t="n">
        <f aca="false">F86*H86</f>
        <v>0.72</v>
      </c>
    </row>
    <row r="87" customFormat="false" ht="14" hidden="false" customHeight="false" outlineLevel="0" collapsed="false">
      <c r="A87" s="238" t="s">
        <v>303</v>
      </c>
      <c r="B87" s="239" t="s">
        <v>122</v>
      </c>
      <c r="C87" s="239" t="s">
        <v>559</v>
      </c>
      <c r="D87" s="239" t="s">
        <v>352</v>
      </c>
      <c r="E87" s="240" t="s">
        <v>125</v>
      </c>
      <c r="F87" s="238" t="s">
        <v>560</v>
      </c>
      <c r="G87" s="238" t="s">
        <v>561</v>
      </c>
      <c r="H87" s="231" t="n">
        <f aca="false">TRUNC(G87*(1-(SINTÉTICA!$I$53)),2)</f>
        <v>20.44</v>
      </c>
      <c r="I87" s="241" t="n">
        <f aca="false">F87*H87/(SUM($K:$K))</f>
        <v>2.16873980260647E-006</v>
      </c>
      <c r="K87" s="233" t="n">
        <f aca="false">F87*H87</f>
        <v>0.487624816</v>
      </c>
    </row>
    <row r="88" customFormat="false" ht="25" hidden="false" customHeight="false" outlineLevel="0" collapsed="false">
      <c r="A88" s="238" t="s">
        <v>338</v>
      </c>
      <c r="B88" s="239" t="s">
        <v>122</v>
      </c>
      <c r="C88" s="239" t="s">
        <v>562</v>
      </c>
      <c r="D88" s="239" t="s">
        <v>374</v>
      </c>
      <c r="E88" s="240" t="s">
        <v>125</v>
      </c>
      <c r="F88" s="238" t="s">
        <v>502</v>
      </c>
      <c r="G88" s="238" t="s">
        <v>551</v>
      </c>
      <c r="H88" s="231" t="n">
        <f aca="false">TRUNC(G88*(1-(SINTÉTICA!$I$53)),2)</f>
        <v>0.01</v>
      </c>
      <c r="I88" s="241" t="n">
        <f aca="false">F88*H88/(SUM($K:$K))</f>
        <v>1.04658597211384E-006</v>
      </c>
      <c r="K88" s="233" t="n">
        <f aca="false">F88*H88</f>
        <v>0.235316976</v>
      </c>
    </row>
    <row r="89" customFormat="false" ht="14" hidden="false" customHeight="false" outlineLevel="0" collapsed="false">
      <c r="A89" s="238" t="s">
        <v>274</v>
      </c>
      <c r="B89" s="239" t="s">
        <v>122</v>
      </c>
      <c r="C89" s="239" t="s">
        <v>563</v>
      </c>
      <c r="D89" s="239" t="s">
        <v>363</v>
      </c>
      <c r="E89" s="240" t="s">
        <v>564</v>
      </c>
      <c r="F89" s="238" t="s">
        <v>565</v>
      </c>
      <c r="G89" s="238" t="s">
        <v>514</v>
      </c>
      <c r="H89" s="231" t="n">
        <f aca="false">TRUNC(G89*(1-(SINTÉTICA!$I$53)),2)</f>
        <v>1.15</v>
      </c>
      <c r="I89" s="241" t="n">
        <f aca="false">F89*H89/(SUM($K:$K))</f>
        <v>7.79785950949613E-008</v>
      </c>
      <c r="K89" s="233" t="n">
        <f aca="false">F89*H89</f>
        <v>0.0175329</v>
      </c>
    </row>
    <row r="90" customFormat="false" ht="37.5" hidden="false" customHeight="false" outlineLevel="0" collapsed="false">
      <c r="A90" s="238" t="s">
        <v>273</v>
      </c>
      <c r="B90" s="239" t="s">
        <v>122</v>
      </c>
      <c r="C90" s="239" t="s">
        <v>566</v>
      </c>
      <c r="D90" s="239" t="s">
        <v>374</v>
      </c>
      <c r="E90" s="240" t="s">
        <v>155</v>
      </c>
      <c r="F90" s="238" t="s">
        <v>567</v>
      </c>
      <c r="G90" s="238" t="s">
        <v>568</v>
      </c>
      <c r="H90" s="231" t="n">
        <f aca="false">TRUNC(G90*(1-(SINTÉTICA!$I$53)),2)</f>
        <v>4950</v>
      </c>
      <c r="I90" s="241" t="n">
        <f aca="false">F90*H90/(SUM($K:$K))</f>
        <v>5.72400754508468E-008</v>
      </c>
      <c r="K90" s="233" t="n">
        <f aca="false">F90*H90</f>
        <v>0.01287</v>
      </c>
    </row>
    <row r="91" customFormat="false" ht="14" hidden="false" customHeight="false" outlineLevel="0" collapsed="false">
      <c r="K91" s="233" t="n">
        <f aca="false">F91*H91</f>
        <v>0</v>
      </c>
    </row>
    <row r="92" customFormat="false" ht="14" hidden="false" customHeight="false" outlineLevel="0" collapsed="false">
      <c r="K92" s="233" t="n">
        <f aca="false">F92*H92</f>
        <v>0</v>
      </c>
    </row>
    <row r="93" customFormat="false" ht="14" hidden="false" customHeight="false" outlineLevel="0" collapsed="false">
      <c r="K93" s="233" t="n">
        <f aca="false">F93*H93</f>
        <v>0</v>
      </c>
    </row>
    <row r="94" customFormat="false" ht="14" hidden="false" customHeight="false" outlineLevel="0" collapsed="false">
      <c r="K94" s="233" t="n">
        <f aca="false">F94*H94</f>
        <v>0</v>
      </c>
    </row>
    <row r="95" customFormat="false" ht="14" hidden="false" customHeight="false" outlineLevel="0" collapsed="false">
      <c r="K95" s="233" t="n">
        <f aca="false">F95*H95</f>
        <v>0</v>
      </c>
    </row>
    <row r="96" customFormat="false" ht="14" hidden="false" customHeight="false" outlineLevel="0" collapsed="false">
      <c r="K96" s="233" t="n">
        <f aca="false">F96*H96</f>
        <v>0</v>
      </c>
    </row>
    <row r="97" customFormat="false" ht="14" hidden="false" customHeight="false" outlineLevel="0" collapsed="false">
      <c r="K97" s="233" t="n">
        <f aca="false">F97*H97</f>
        <v>0</v>
      </c>
    </row>
    <row r="98" customFormat="false" ht="14" hidden="false" customHeight="false" outlineLevel="0" collapsed="false">
      <c r="K98" s="233" t="n">
        <f aca="false">F98*H98</f>
        <v>0</v>
      </c>
    </row>
    <row r="99" customFormat="false" ht="14" hidden="false" customHeight="false" outlineLevel="0" collapsed="false">
      <c r="K99" s="233" t="n">
        <f aca="false">F99*H99</f>
        <v>0</v>
      </c>
    </row>
    <row r="100" customFormat="false" ht="14" hidden="false" customHeight="false" outlineLevel="0" collapsed="false">
      <c r="K100" s="233" t="n">
        <f aca="false">F100*H100</f>
        <v>0</v>
      </c>
    </row>
    <row r="101" customFormat="false" ht="14" hidden="false" customHeight="false" outlineLevel="0" collapsed="false">
      <c r="K101" s="233" t="n">
        <f aca="false">F101*H101</f>
        <v>0</v>
      </c>
    </row>
    <row r="102" customFormat="false" ht="14" hidden="false" customHeight="false" outlineLevel="0" collapsed="false">
      <c r="K102" s="233" t="n">
        <f aca="false">F102*H102</f>
        <v>0</v>
      </c>
    </row>
    <row r="103" customFormat="false" ht="14" hidden="false" customHeight="false" outlineLevel="0" collapsed="false">
      <c r="K103" s="233" t="n">
        <f aca="false">F103*H103</f>
        <v>0</v>
      </c>
    </row>
    <row r="104" customFormat="false" ht="14" hidden="false" customHeight="false" outlineLevel="0" collapsed="false">
      <c r="K104" s="233" t="n">
        <f aca="false">F104*H104</f>
        <v>0</v>
      </c>
    </row>
    <row r="105" customFormat="false" ht="14" hidden="false" customHeight="false" outlineLevel="0" collapsed="false">
      <c r="K105" s="233" t="n">
        <f aca="false">F105*H105</f>
        <v>0</v>
      </c>
    </row>
    <row r="106" customFormat="false" ht="14" hidden="false" customHeight="false" outlineLevel="0" collapsed="false">
      <c r="K106" s="233" t="n">
        <f aca="false">F106*H106</f>
        <v>0</v>
      </c>
    </row>
    <row r="107" customFormat="false" ht="14" hidden="false" customHeight="false" outlineLevel="0" collapsed="false">
      <c r="K107" s="233" t="n">
        <f aca="false">F107*H107</f>
        <v>0</v>
      </c>
    </row>
    <row r="108" customFormat="false" ht="14" hidden="false" customHeight="false" outlineLevel="0" collapsed="false">
      <c r="K108" s="233" t="n">
        <f aca="false">F108*H108</f>
        <v>0</v>
      </c>
    </row>
    <row r="109" customFormat="false" ht="14" hidden="false" customHeight="false" outlineLevel="0" collapsed="false">
      <c r="K109" s="233" t="n">
        <f aca="false">F109*H109</f>
        <v>0</v>
      </c>
    </row>
    <row r="110" customFormat="false" ht="14" hidden="false" customHeight="false" outlineLevel="0" collapsed="false">
      <c r="K110" s="233" t="n">
        <f aca="false">F110*H110</f>
        <v>0</v>
      </c>
    </row>
    <row r="111" customFormat="false" ht="14" hidden="false" customHeight="false" outlineLevel="0" collapsed="false">
      <c r="K111" s="233" t="n">
        <f aca="false">F111*H111</f>
        <v>0</v>
      </c>
    </row>
    <row r="112" customFormat="false" ht="14" hidden="false" customHeight="false" outlineLevel="0" collapsed="false">
      <c r="K112" s="233" t="n">
        <f aca="false">F112*H112</f>
        <v>0</v>
      </c>
    </row>
    <row r="113" customFormat="false" ht="14" hidden="false" customHeight="false" outlineLevel="0" collapsed="false">
      <c r="K113" s="233" t="n">
        <f aca="false">F113*H113</f>
        <v>0</v>
      </c>
    </row>
    <row r="114" customFormat="false" ht="14" hidden="false" customHeight="false" outlineLevel="0" collapsed="false">
      <c r="K114" s="233" t="n">
        <f aca="false">F114*H114</f>
        <v>0</v>
      </c>
    </row>
    <row r="115" customFormat="false" ht="14" hidden="false" customHeight="false" outlineLevel="0" collapsed="false">
      <c r="K115" s="233" t="n">
        <f aca="false">F115*H115</f>
        <v>0</v>
      </c>
    </row>
    <row r="116" customFormat="false" ht="14" hidden="false" customHeight="false" outlineLevel="0" collapsed="false">
      <c r="K116" s="233" t="n">
        <f aca="false">F116*H116</f>
        <v>0</v>
      </c>
    </row>
    <row r="117" customFormat="false" ht="14" hidden="false" customHeight="false" outlineLevel="0" collapsed="false">
      <c r="K117" s="233" t="n">
        <f aca="false">F117*H117</f>
        <v>0</v>
      </c>
    </row>
    <row r="118" customFormat="false" ht="14" hidden="false" customHeight="false" outlineLevel="0" collapsed="false">
      <c r="K118" s="233" t="n">
        <f aca="false">F118*H118</f>
        <v>0</v>
      </c>
    </row>
    <row r="119" customFormat="false" ht="14" hidden="false" customHeight="false" outlineLevel="0" collapsed="false">
      <c r="K119" s="233" t="n">
        <f aca="false">F119*H119</f>
        <v>0</v>
      </c>
    </row>
    <row r="120" customFormat="false" ht="14" hidden="false" customHeight="false" outlineLevel="0" collapsed="false">
      <c r="K120" s="233" t="n">
        <f aca="false">F120*H120</f>
        <v>0</v>
      </c>
    </row>
    <row r="121" customFormat="false" ht="14" hidden="false" customHeight="false" outlineLevel="0" collapsed="false">
      <c r="K121" s="233" t="n">
        <f aca="false">F121*H121</f>
        <v>0</v>
      </c>
    </row>
    <row r="122" customFormat="false" ht="14" hidden="false" customHeight="false" outlineLevel="0" collapsed="false">
      <c r="K122" s="233" t="n">
        <f aca="false">F122*H122</f>
        <v>0</v>
      </c>
    </row>
    <row r="123" customFormat="false" ht="14" hidden="false" customHeight="false" outlineLevel="0" collapsed="false">
      <c r="K123" s="233" t="n">
        <f aca="false">F123*H123</f>
        <v>0</v>
      </c>
    </row>
    <row r="124" customFormat="false" ht="14" hidden="false" customHeight="false" outlineLevel="0" collapsed="false">
      <c r="K124" s="233" t="n">
        <f aca="false">F124*H124</f>
        <v>0</v>
      </c>
    </row>
    <row r="125" customFormat="false" ht="14" hidden="false" customHeight="false" outlineLevel="0" collapsed="false">
      <c r="K125" s="233" t="n">
        <f aca="false">F125*H125</f>
        <v>0</v>
      </c>
    </row>
    <row r="126" customFormat="false" ht="14" hidden="false" customHeight="false" outlineLevel="0" collapsed="false">
      <c r="K126" s="233" t="n">
        <f aca="false">F126*H126</f>
        <v>0</v>
      </c>
    </row>
    <row r="127" customFormat="false" ht="14" hidden="false" customHeight="false" outlineLevel="0" collapsed="false">
      <c r="K127" s="233" t="n">
        <f aca="false">F127*H127</f>
        <v>0</v>
      </c>
    </row>
    <row r="128" customFormat="false" ht="14" hidden="false" customHeight="false" outlineLevel="0" collapsed="false">
      <c r="K128" s="233" t="n">
        <f aca="false">F128*H128</f>
        <v>0</v>
      </c>
    </row>
    <row r="129" customFormat="false" ht="14" hidden="false" customHeight="false" outlineLevel="0" collapsed="false">
      <c r="K129" s="233" t="n">
        <f aca="false">F129*H129</f>
        <v>0</v>
      </c>
    </row>
    <row r="130" customFormat="false" ht="14" hidden="false" customHeight="false" outlineLevel="0" collapsed="false">
      <c r="K130" s="233" t="n">
        <f aca="false">F130*H130</f>
        <v>0</v>
      </c>
    </row>
    <row r="131" customFormat="false" ht="14" hidden="false" customHeight="false" outlineLevel="0" collapsed="false">
      <c r="K131" s="233" t="n">
        <f aca="false">F131*H131</f>
        <v>0</v>
      </c>
    </row>
    <row r="132" customFormat="false" ht="14" hidden="false" customHeight="false" outlineLevel="0" collapsed="false">
      <c r="K132" s="233" t="n">
        <f aca="false">F132*H132</f>
        <v>0</v>
      </c>
    </row>
    <row r="133" customFormat="false" ht="14" hidden="false" customHeight="false" outlineLevel="0" collapsed="false">
      <c r="K133" s="233" t="n">
        <f aca="false">F133*H133</f>
        <v>0</v>
      </c>
    </row>
    <row r="134" customFormat="false" ht="14" hidden="false" customHeight="false" outlineLevel="0" collapsed="false">
      <c r="K134" s="233" t="n">
        <f aca="false">F134*H134</f>
        <v>0</v>
      </c>
    </row>
    <row r="135" customFormat="false" ht="14" hidden="false" customHeight="false" outlineLevel="0" collapsed="false">
      <c r="K135" s="233" t="n">
        <f aca="false">F135*H135</f>
        <v>0</v>
      </c>
    </row>
    <row r="136" customFormat="false" ht="14" hidden="false" customHeight="false" outlineLevel="0" collapsed="false">
      <c r="K136" s="233" t="n">
        <f aca="false">F136*H136</f>
        <v>0</v>
      </c>
    </row>
    <row r="137" customFormat="false" ht="14" hidden="false" customHeight="false" outlineLevel="0" collapsed="false">
      <c r="K137" s="233" t="n">
        <f aca="false">F137*H137</f>
        <v>0</v>
      </c>
    </row>
    <row r="138" customFormat="false" ht="14" hidden="false" customHeight="false" outlineLevel="0" collapsed="false">
      <c r="K138" s="233" t="n">
        <f aca="false">F138*H138</f>
        <v>0</v>
      </c>
    </row>
    <row r="139" customFormat="false" ht="14" hidden="false" customHeight="false" outlineLevel="0" collapsed="false">
      <c r="K139" s="233" t="n">
        <f aca="false">F139*H139</f>
        <v>0</v>
      </c>
    </row>
    <row r="140" customFormat="false" ht="14" hidden="false" customHeight="false" outlineLevel="0" collapsed="false">
      <c r="K140" s="233" t="n">
        <f aca="false">F140*H140</f>
        <v>0</v>
      </c>
    </row>
    <row r="141" customFormat="false" ht="14" hidden="false" customHeight="false" outlineLevel="0" collapsed="false">
      <c r="K141" s="233" t="n">
        <f aca="false">F141*H141</f>
        <v>0</v>
      </c>
    </row>
    <row r="142" customFormat="false" ht="14" hidden="false" customHeight="false" outlineLevel="0" collapsed="false">
      <c r="K142" s="233" t="n">
        <f aca="false">F142*H142</f>
        <v>0</v>
      </c>
    </row>
    <row r="143" customFormat="false" ht="14" hidden="false" customHeight="false" outlineLevel="0" collapsed="false">
      <c r="K143" s="233" t="n">
        <f aca="false">F143*H143</f>
        <v>0</v>
      </c>
    </row>
    <row r="144" customFormat="false" ht="14" hidden="false" customHeight="false" outlineLevel="0" collapsed="false">
      <c r="K144" s="233" t="n">
        <f aca="false">F144*H144</f>
        <v>0</v>
      </c>
    </row>
    <row r="145" customFormat="false" ht="14" hidden="false" customHeight="false" outlineLevel="0" collapsed="false">
      <c r="K145" s="233" t="n">
        <f aca="false">F145*H145</f>
        <v>0</v>
      </c>
    </row>
    <row r="146" customFormat="false" ht="14" hidden="false" customHeight="false" outlineLevel="0" collapsed="false">
      <c r="K146" s="233" t="n">
        <f aca="false">F146*H146</f>
        <v>0</v>
      </c>
    </row>
    <row r="147" customFormat="false" ht="14" hidden="false" customHeight="false" outlineLevel="0" collapsed="false">
      <c r="K147" s="233" t="n">
        <f aca="false">F147*H147</f>
        <v>0</v>
      </c>
    </row>
    <row r="148" customFormat="false" ht="14" hidden="false" customHeight="false" outlineLevel="0" collapsed="false">
      <c r="K148" s="233" t="n">
        <f aca="false">F148*H148</f>
        <v>0</v>
      </c>
    </row>
    <row r="149" customFormat="false" ht="14" hidden="false" customHeight="false" outlineLevel="0" collapsed="false">
      <c r="K149" s="233" t="n">
        <f aca="false">F149*H149</f>
        <v>0</v>
      </c>
    </row>
    <row r="150" customFormat="false" ht="14" hidden="false" customHeight="false" outlineLevel="0" collapsed="false">
      <c r="K150" s="233" t="n">
        <f aca="false">F150*H150</f>
        <v>0</v>
      </c>
    </row>
    <row r="151" customFormat="false" ht="14" hidden="false" customHeight="false" outlineLevel="0" collapsed="false">
      <c r="K151" s="233" t="n">
        <f aca="false">F151*H151</f>
        <v>0</v>
      </c>
    </row>
    <row r="152" customFormat="false" ht="14" hidden="false" customHeight="false" outlineLevel="0" collapsed="false">
      <c r="K152" s="233" t="n">
        <f aca="false">F152*H152</f>
        <v>0</v>
      </c>
    </row>
    <row r="153" customFormat="false" ht="14" hidden="false" customHeight="false" outlineLevel="0" collapsed="false">
      <c r="K153" s="233" t="n">
        <f aca="false">F153*H153</f>
        <v>0</v>
      </c>
    </row>
    <row r="154" customFormat="false" ht="14" hidden="false" customHeight="false" outlineLevel="0" collapsed="false">
      <c r="K154" s="233" t="n">
        <f aca="false">F154*H154</f>
        <v>0</v>
      </c>
    </row>
    <row r="155" customFormat="false" ht="14" hidden="false" customHeight="false" outlineLevel="0" collapsed="false">
      <c r="K155" s="233" t="n">
        <f aca="false">F155*H155</f>
        <v>0</v>
      </c>
    </row>
    <row r="156" customFormat="false" ht="14" hidden="false" customHeight="false" outlineLevel="0" collapsed="false">
      <c r="K156" s="233" t="n">
        <f aca="false">F156*H156</f>
        <v>0</v>
      </c>
    </row>
    <row r="157" customFormat="false" ht="14" hidden="false" customHeight="false" outlineLevel="0" collapsed="false">
      <c r="K157" s="233" t="n">
        <f aca="false">F157*H157</f>
        <v>0</v>
      </c>
    </row>
    <row r="158" customFormat="false" ht="14" hidden="false" customHeight="false" outlineLevel="0" collapsed="false">
      <c r="K158" s="233" t="n">
        <f aca="false">F158*H158</f>
        <v>0</v>
      </c>
    </row>
    <row r="159" customFormat="false" ht="14" hidden="false" customHeight="false" outlineLevel="0" collapsed="false">
      <c r="K159" s="233" t="n">
        <f aca="false">F159*H159</f>
        <v>0</v>
      </c>
    </row>
    <row r="160" customFormat="false" ht="14" hidden="false" customHeight="false" outlineLevel="0" collapsed="false">
      <c r="K160" s="233" t="n">
        <f aca="false">F160*H160</f>
        <v>0</v>
      </c>
    </row>
    <row r="161" customFormat="false" ht="14" hidden="false" customHeight="false" outlineLevel="0" collapsed="false">
      <c r="K161" s="233" t="n">
        <f aca="false">F161*H161</f>
        <v>0</v>
      </c>
    </row>
    <row r="162" customFormat="false" ht="14" hidden="false" customHeight="false" outlineLevel="0" collapsed="false">
      <c r="K162" s="233" t="n">
        <f aca="false">F162*H162</f>
        <v>0</v>
      </c>
    </row>
    <row r="163" customFormat="false" ht="14" hidden="false" customHeight="false" outlineLevel="0" collapsed="false">
      <c r="K163" s="233" t="n">
        <f aca="false">F163*H163</f>
        <v>0</v>
      </c>
    </row>
    <row r="164" customFormat="false" ht="14" hidden="false" customHeight="false" outlineLevel="0" collapsed="false">
      <c r="K164" s="233" t="n">
        <f aca="false">F164*H164</f>
        <v>0</v>
      </c>
    </row>
    <row r="165" customFormat="false" ht="14" hidden="false" customHeight="false" outlineLevel="0" collapsed="false">
      <c r="K165" s="233" t="n">
        <f aca="false">F165*H165</f>
        <v>0</v>
      </c>
    </row>
    <row r="166" customFormat="false" ht="14" hidden="false" customHeight="false" outlineLevel="0" collapsed="false">
      <c r="K166" s="233" t="n">
        <f aca="false">F166*H166</f>
        <v>0</v>
      </c>
    </row>
    <row r="167" customFormat="false" ht="14" hidden="false" customHeight="false" outlineLevel="0" collapsed="false">
      <c r="K167" s="233" t="n">
        <f aca="false">F167*H167</f>
        <v>0</v>
      </c>
    </row>
    <row r="168" customFormat="false" ht="14" hidden="false" customHeight="false" outlineLevel="0" collapsed="false">
      <c r="K168" s="233" t="n">
        <f aca="false">F168*H168</f>
        <v>0</v>
      </c>
    </row>
    <row r="169" customFormat="false" ht="14" hidden="false" customHeight="false" outlineLevel="0" collapsed="false">
      <c r="K169" s="233" t="n">
        <f aca="false">F169*H169</f>
        <v>0</v>
      </c>
    </row>
    <row r="170" customFormat="false" ht="14" hidden="false" customHeight="false" outlineLevel="0" collapsed="false">
      <c r="K170" s="233" t="n">
        <f aca="false">F170*H170</f>
        <v>0</v>
      </c>
    </row>
    <row r="171" customFormat="false" ht="14" hidden="false" customHeight="false" outlineLevel="0" collapsed="false">
      <c r="K171" s="233" t="n">
        <f aca="false">F171*H171</f>
        <v>0</v>
      </c>
    </row>
    <row r="172" customFormat="false" ht="14" hidden="false" customHeight="false" outlineLevel="0" collapsed="false">
      <c r="K172" s="233" t="n">
        <f aca="false">F172*H172</f>
        <v>0</v>
      </c>
    </row>
    <row r="173" customFormat="false" ht="14" hidden="false" customHeight="false" outlineLevel="0" collapsed="false">
      <c r="K173" s="233" t="n">
        <f aca="false">F173*H173</f>
        <v>0</v>
      </c>
    </row>
    <row r="174" customFormat="false" ht="14" hidden="false" customHeight="false" outlineLevel="0" collapsed="false">
      <c r="K174" s="233" t="n">
        <f aca="false">F174*H174</f>
        <v>0</v>
      </c>
    </row>
    <row r="175" customFormat="false" ht="14" hidden="false" customHeight="false" outlineLevel="0" collapsed="false">
      <c r="K175" s="233" t="n">
        <f aca="false">F175*H175</f>
        <v>0</v>
      </c>
    </row>
    <row r="176" customFormat="false" ht="14" hidden="false" customHeight="false" outlineLevel="0" collapsed="false">
      <c r="K176" s="233" t="n">
        <f aca="false">F176*H176</f>
        <v>0</v>
      </c>
    </row>
    <row r="177" customFormat="false" ht="14" hidden="false" customHeight="false" outlineLevel="0" collapsed="false">
      <c r="K177" s="233" t="n">
        <f aca="false">F177*H177</f>
        <v>0</v>
      </c>
    </row>
    <row r="178" customFormat="false" ht="14" hidden="false" customHeight="false" outlineLevel="0" collapsed="false">
      <c r="K178" s="233" t="n">
        <f aca="false">F178*H178</f>
        <v>0</v>
      </c>
    </row>
    <row r="179" customFormat="false" ht="14" hidden="false" customHeight="false" outlineLevel="0" collapsed="false">
      <c r="K179" s="233" t="n">
        <f aca="false">F179*H179</f>
        <v>0</v>
      </c>
    </row>
    <row r="180" customFormat="false" ht="14" hidden="false" customHeight="false" outlineLevel="0" collapsed="false">
      <c r="K180" s="233" t="n">
        <f aca="false">F180*H180</f>
        <v>0</v>
      </c>
    </row>
    <row r="181" customFormat="false" ht="14" hidden="false" customHeight="false" outlineLevel="0" collapsed="false">
      <c r="K181" s="233" t="n">
        <f aca="false">F181*H181</f>
        <v>0</v>
      </c>
    </row>
    <row r="182" customFormat="false" ht="14" hidden="false" customHeight="false" outlineLevel="0" collapsed="false">
      <c r="K182" s="233" t="n">
        <f aca="false">F182*H182</f>
        <v>0</v>
      </c>
    </row>
    <row r="183" customFormat="false" ht="14" hidden="false" customHeight="false" outlineLevel="0" collapsed="false">
      <c r="K183" s="233" t="n">
        <f aca="false">F183*H183</f>
        <v>0</v>
      </c>
    </row>
    <row r="184" customFormat="false" ht="14" hidden="false" customHeight="false" outlineLevel="0" collapsed="false">
      <c r="K184" s="233" t="n">
        <f aca="false">F184*H184</f>
        <v>0</v>
      </c>
    </row>
    <row r="185" customFormat="false" ht="14" hidden="false" customHeight="false" outlineLevel="0" collapsed="false">
      <c r="K185" s="233" t="n">
        <f aca="false">F185*H185</f>
        <v>0</v>
      </c>
    </row>
    <row r="186" customFormat="false" ht="14" hidden="false" customHeight="false" outlineLevel="0" collapsed="false">
      <c r="K186" s="233" t="n">
        <f aca="false">F186*H186</f>
        <v>0</v>
      </c>
    </row>
    <row r="187" customFormat="false" ht="14" hidden="false" customHeight="false" outlineLevel="0" collapsed="false">
      <c r="K187" s="233" t="n">
        <f aca="false">F187*H187</f>
        <v>0</v>
      </c>
    </row>
    <row r="188" customFormat="false" ht="14" hidden="false" customHeight="false" outlineLevel="0" collapsed="false">
      <c r="K188" s="233" t="n">
        <f aca="false">F188*H188</f>
        <v>0</v>
      </c>
    </row>
    <row r="189" customFormat="false" ht="14" hidden="false" customHeight="false" outlineLevel="0" collapsed="false">
      <c r="K189" s="233" t="n">
        <f aca="false">F189*H189</f>
        <v>0</v>
      </c>
    </row>
    <row r="190" customFormat="false" ht="14" hidden="false" customHeight="false" outlineLevel="0" collapsed="false">
      <c r="K190" s="233" t="n">
        <f aca="false">F190*H190</f>
        <v>0</v>
      </c>
    </row>
    <row r="191" customFormat="false" ht="14" hidden="false" customHeight="false" outlineLevel="0" collapsed="false">
      <c r="K191" s="233" t="n">
        <f aca="false">F191*H191</f>
        <v>0</v>
      </c>
    </row>
    <row r="192" customFormat="false" ht="14" hidden="false" customHeight="false" outlineLevel="0" collapsed="false">
      <c r="K192" s="233" t="n">
        <f aca="false">F192*H192</f>
        <v>0</v>
      </c>
    </row>
    <row r="193" customFormat="false" ht="14" hidden="false" customHeight="false" outlineLevel="0" collapsed="false">
      <c r="K193" s="233" t="n">
        <f aca="false">F193*H193</f>
        <v>0</v>
      </c>
    </row>
    <row r="194" customFormat="false" ht="14" hidden="false" customHeight="false" outlineLevel="0" collapsed="false">
      <c r="K194" s="233" t="n">
        <f aca="false">F194*H194</f>
        <v>0</v>
      </c>
    </row>
    <row r="195" customFormat="false" ht="14" hidden="false" customHeight="false" outlineLevel="0" collapsed="false">
      <c r="K195" s="233" t="n">
        <f aca="false">F195*H195</f>
        <v>0</v>
      </c>
    </row>
    <row r="196" customFormat="false" ht="14" hidden="false" customHeight="false" outlineLevel="0" collapsed="false">
      <c r="K196" s="233" t="n">
        <f aca="false">F196*H196</f>
        <v>0</v>
      </c>
    </row>
    <row r="197" customFormat="false" ht="14" hidden="false" customHeight="false" outlineLevel="0" collapsed="false">
      <c r="K197" s="233" t="n">
        <f aca="false">F197*H197</f>
        <v>0</v>
      </c>
    </row>
    <row r="198" customFormat="false" ht="14" hidden="false" customHeight="false" outlineLevel="0" collapsed="false">
      <c r="K198" s="233" t="n">
        <f aca="false">F198*H198</f>
        <v>0</v>
      </c>
    </row>
    <row r="199" customFormat="false" ht="14" hidden="false" customHeight="false" outlineLevel="0" collapsed="false">
      <c r="K199" s="233" t="n">
        <f aca="false">F199*H199</f>
        <v>0</v>
      </c>
    </row>
    <row r="200" customFormat="false" ht="14" hidden="false" customHeight="false" outlineLevel="0" collapsed="false">
      <c r="K200" s="233" t="n">
        <f aca="false">F200*H200</f>
        <v>0</v>
      </c>
    </row>
    <row r="201" customFormat="false" ht="14" hidden="false" customHeight="false" outlineLevel="0" collapsed="false">
      <c r="K201" s="233" t="n">
        <f aca="false">F201*H201</f>
        <v>0</v>
      </c>
    </row>
    <row r="202" customFormat="false" ht="14" hidden="false" customHeight="false" outlineLevel="0" collapsed="false">
      <c r="K202" s="233" t="n">
        <f aca="false">F202*H202</f>
        <v>0</v>
      </c>
    </row>
    <row r="203" customFormat="false" ht="14" hidden="false" customHeight="false" outlineLevel="0" collapsed="false">
      <c r="K203" s="233" t="n">
        <f aca="false">F203*H203</f>
        <v>0</v>
      </c>
    </row>
    <row r="204" customFormat="false" ht="14" hidden="false" customHeight="false" outlineLevel="0" collapsed="false">
      <c r="K204" s="233" t="n">
        <f aca="false">F204*H204</f>
        <v>0</v>
      </c>
    </row>
    <row r="205" customFormat="false" ht="14" hidden="false" customHeight="false" outlineLevel="0" collapsed="false">
      <c r="K205" s="233" t="n">
        <f aca="false">F205*H205</f>
        <v>0</v>
      </c>
    </row>
    <row r="206" customFormat="false" ht="14" hidden="false" customHeight="false" outlineLevel="0" collapsed="false">
      <c r="K206" s="233" t="n">
        <f aca="false">F206*H206</f>
        <v>0</v>
      </c>
    </row>
    <row r="207" customFormat="false" ht="14" hidden="false" customHeight="false" outlineLevel="0" collapsed="false">
      <c r="K207" s="233" t="n">
        <f aca="false">F207*H207</f>
        <v>0</v>
      </c>
    </row>
    <row r="208" customFormat="false" ht="14" hidden="false" customHeight="false" outlineLevel="0" collapsed="false">
      <c r="K208" s="233" t="n">
        <f aca="false">F208*H208</f>
        <v>0</v>
      </c>
    </row>
    <row r="209" customFormat="false" ht="14" hidden="false" customHeight="false" outlineLevel="0" collapsed="false">
      <c r="K209" s="233" t="n">
        <f aca="false">F209*H209</f>
        <v>0</v>
      </c>
    </row>
    <row r="210" customFormat="false" ht="14" hidden="false" customHeight="false" outlineLevel="0" collapsed="false">
      <c r="K210" s="233" t="n">
        <f aca="false">F210*H210</f>
        <v>0</v>
      </c>
    </row>
    <row r="211" customFormat="false" ht="14" hidden="false" customHeight="false" outlineLevel="0" collapsed="false">
      <c r="K211" s="233" t="n">
        <f aca="false">F211*H211</f>
        <v>0</v>
      </c>
    </row>
    <row r="212" customFormat="false" ht="14" hidden="false" customHeight="false" outlineLevel="0" collapsed="false">
      <c r="K212" s="233" t="n">
        <f aca="false">F212*H212</f>
        <v>0</v>
      </c>
    </row>
    <row r="213" customFormat="false" ht="14" hidden="false" customHeight="false" outlineLevel="0" collapsed="false">
      <c r="K213" s="233" t="n">
        <f aca="false">F213*H213</f>
        <v>0</v>
      </c>
    </row>
    <row r="214" customFormat="false" ht="14" hidden="false" customHeight="false" outlineLevel="0" collapsed="false">
      <c r="K214" s="233" t="n">
        <f aca="false">F214*H214</f>
        <v>0</v>
      </c>
    </row>
    <row r="215" customFormat="false" ht="14" hidden="false" customHeight="false" outlineLevel="0" collapsed="false">
      <c r="K215" s="233" t="n">
        <f aca="false">F215*H215</f>
        <v>0</v>
      </c>
    </row>
    <row r="216" customFormat="false" ht="14" hidden="false" customHeight="false" outlineLevel="0" collapsed="false">
      <c r="K216" s="233" t="n">
        <f aca="false">F216*H216</f>
        <v>0</v>
      </c>
    </row>
    <row r="217" customFormat="false" ht="14" hidden="false" customHeight="false" outlineLevel="0" collapsed="false">
      <c r="K217" s="233" t="n">
        <f aca="false">F217*H217</f>
        <v>0</v>
      </c>
    </row>
    <row r="218" customFormat="false" ht="14" hidden="false" customHeight="false" outlineLevel="0" collapsed="false">
      <c r="K218" s="233" t="n">
        <f aca="false">F218*H218</f>
        <v>0</v>
      </c>
    </row>
    <row r="219" customFormat="false" ht="14" hidden="false" customHeight="false" outlineLevel="0" collapsed="false">
      <c r="K219" s="233" t="n">
        <f aca="false">F219*H219</f>
        <v>0</v>
      </c>
    </row>
    <row r="220" customFormat="false" ht="14" hidden="false" customHeight="false" outlineLevel="0" collapsed="false">
      <c r="K220" s="233" t="n">
        <f aca="false">F220*H220</f>
        <v>0</v>
      </c>
    </row>
    <row r="221" customFormat="false" ht="14" hidden="false" customHeight="false" outlineLevel="0" collapsed="false">
      <c r="K221" s="233" t="n">
        <f aca="false">F221*H221</f>
        <v>0</v>
      </c>
    </row>
    <row r="222" customFormat="false" ht="14" hidden="false" customHeight="false" outlineLevel="0" collapsed="false">
      <c r="K222" s="233" t="n">
        <f aca="false">F222*H222</f>
        <v>0</v>
      </c>
    </row>
    <row r="223" customFormat="false" ht="14" hidden="false" customHeight="false" outlineLevel="0" collapsed="false">
      <c r="K223" s="233" t="n">
        <f aca="false">F223*H223</f>
        <v>0</v>
      </c>
    </row>
    <row r="224" customFormat="false" ht="14" hidden="false" customHeight="false" outlineLevel="0" collapsed="false">
      <c r="K224" s="233" t="n">
        <f aca="false">F224*H224</f>
        <v>0</v>
      </c>
    </row>
    <row r="225" customFormat="false" ht="14" hidden="false" customHeight="false" outlineLevel="0" collapsed="false">
      <c r="K225" s="233" t="n">
        <f aca="false">F225*H225</f>
        <v>0</v>
      </c>
    </row>
    <row r="226" customFormat="false" ht="14" hidden="false" customHeight="false" outlineLevel="0" collapsed="false">
      <c r="K226" s="233" t="n">
        <f aca="false">F226*H226</f>
        <v>0</v>
      </c>
    </row>
    <row r="227" customFormat="false" ht="14" hidden="false" customHeight="false" outlineLevel="0" collapsed="false">
      <c r="K227" s="233" t="n">
        <f aca="false">F227*H227</f>
        <v>0</v>
      </c>
    </row>
    <row r="228" customFormat="false" ht="14" hidden="false" customHeight="false" outlineLevel="0" collapsed="false">
      <c r="K228" s="233" t="n">
        <f aca="false">F228*H228</f>
        <v>0</v>
      </c>
    </row>
    <row r="229" customFormat="false" ht="14" hidden="false" customHeight="false" outlineLevel="0" collapsed="false">
      <c r="K229" s="233" t="n">
        <f aca="false">F229*H229</f>
        <v>0</v>
      </c>
    </row>
    <row r="230" customFormat="false" ht="14" hidden="false" customHeight="false" outlineLevel="0" collapsed="false">
      <c r="K230" s="233" t="n">
        <f aca="false">F230*H230</f>
        <v>0</v>
      </c>
    </row>
    <row r="231" customFormat="false" ht="14" hidden="false" customHeight="false" outlineLevel="0" collapsed="false">
      <c r="K231" s="233" t="n">
        <f aca="false">F231*H231</f>
        <v>0</v>
      </c>
    </row>
    <row r="232" customFormat="false" ht="14" hidden="false" customHeight="false" outlineLevel="0" collapsed="false">
      <c r="K232" s="233" t="n">
        <f aca="false">F232*H232</f>
        <v>0</v>
      </c>
    </row>
    <row r="233" customFormat="false" ht="14" hidden="false" customHeight="false" outlineLevel="0" collapsed="false">
      <c r="K233" s="233" t="n">
        <f aca="false">F233*H233</f>
        <v>0</v>
      </c>
    </row>
    <row r="234" customFormat="false" ht="14" hidden="false" customHeight="false" outlineLevel="0" collapsed="false">
      <c r="K234" s="233" t="n">
        <f aca="false">F234*H234</f>
        <v>0</v>
      </c>
    </row>
    <row r="235" customFormat="false" ht="14" hidden="false" customHeight="false" outlineLevel="0" collapsed="false">
      <c r="K235" s="233" t="n">
        <f aca="false">F235*H235</f>
        <v>0</v>
      </c>
    </row>
    <row r="236" customFormat="false" ht="14" hidden="false" customHeight="false" outlineLevel="0" collapsed="false">
      <c r="K236" s="233" t="n">
        <f aca="false">F236*H236</f>
        <v>0</v>
      </c>
    </row>
    <row r="237" customFormat="false" ht="14" hidden="false" customHeight="false" outlineLevel="0" collapsed="false">
      <c r="K237" s="233" t="n">
        <f aca="false">F237*H237</f>
        <v>0</v>
      </c>
    </row>
    <row r="238" customFormat="false" ht="14" hidden="false" customHeight="false" outlineLevel="0" collapsed="false">
      <c r="K238" s="233" t="n">
        <f aca="false">F238*H238</f>
        <v>0</v>
      </c>
    </row>
    <row r="239" customFormat="false" ht="14" hidden="false" customHeight="false" outlineLevel="0" collapsed="false">
      <c r="K239" s="233" t="n">
        <f aca="false">F239*H239</f>
        <v>0</v>
      </c>
    </row>
    <row r="240" customFormat="false" ht="14" hidden="false" customHeight="false" outlineLevel="0" collapsed="false">
      <c r="K240" s="233" t="n">
        <f aca="false">F240*H240</f>
        <v>0</v>
      </c>
    </row>
    <row r="241" customFormat="false" ht="14" hidden="false" customHeight="false" outlineLevel="0" collapsed="false">
      <c r="K241" s="233" t="n">
        <f aca="false">F241*H241</f>
        <v>0</v>
      </c>
    </row>
    <row r="242" customFormat="false" ht="14" hidden="false" customHeight="false" outlineLevel="0" collapsed="false">
      <c r="K242" s="233" t="n">
        <f aca="false">F242*H242</f>
        <v>0</v>
      </c>
    </row>
    <row r="243" customFormat="false" ht="14" hidden="false" customHeight="false" outlineLevel="0" collapsed="false">
      <c r="K243" s="233" t="n">
        <f aca="false">F243*H243</f>
        <v>0</v>
      </c>
    </row>
    <row r="244" customFormat="false" ht="14" hidden="false" customHeight="false" outlineLevel="0" collapsed="false">
      <c r="K244" s="233" t="n">
        <f aca="false">F244*H244</f>
        <v>0</v>
      </c>
    </row>
    <row r="245" customFormat="false" ht="14" hidden="false" customHeight="false" outlineLevel="0" collapsed="false">
      <c r="K245" s="233" t="n">
        <f aca="false">F245*H245</f>
        <v>0</v>
      </c>
    </row>
    <row r="246" customFormat="false" ht="14" hidden="false" customHeight="false" outlineLevel="0" collapsed="false">
      <c r="K246" s="233" t="n">
        <f aca="false">F246*H246</f>
        <v>0</v>
      </c>
    </row>
    <row r="247" customFormat="false" ht="14" hidden="false" customHeight="false" outlineLevel="0" collapsed="false">
      <c r="K247" s="233" t="n">
        <f aca="false">F247*H247</f>
        <v>0</v>
      </c>
    </row>
    <row r="248" customFormat="false" ht="14" hidden="false" customHeight="false" outlineLevel="0" collapsed="false">
      <c r="K248" s="233" t="n">
        <f aca="false">F248*H248</f>
        <v>0</v>
      </c>
    </row>
    <row r="249" customFormat="false" ht="14" hidden="false" customHeight="false" outlineLevel="0" collapsed="false">
      <c r="K249" s="233" t="n">
        <f aca="false">F249*H249</f>
        <v>0</v>
      </c>
    </row>
    <row r="250" customFormat="false" ht="14" hidden="false" customHeight="false" outlineLevel="0" collapsed="false">
      <c r="K250" s="233" t="n">
        <f aca="false">F250*H250</f>
        <v>0</v>
      </c>
    </row>
    <row r="251" customFormat="false" ht="14" hidden="false" customHeight="false" outlineLevel="0" collapsed="false">
      <c r="K251" s="233" t="n">
        <f aca="false">F251*H251</f>
        <v>0</v>
      </c>
    </row>
    <row r="252" customFormat="false" ht="14" hidden="false" customHeight="false" outlineLevel="0" collapsed="false">
      <c r="K252" s="233" t="n">
        <f aca="false">F252*H252</f>
        <v>0</v>
      </c>
    </row>
    <row r="253" customFormat="false" ht="14" hidden="false" customHeight="false" outlineLevel="0" collapsed="false">
      <c r="K253" s="233" t="n">
        <f aca="false">F253*H253</f>
        <v>0</v>
      </c>
    </row>
    <row r="254" customFormat="false" ht="14" hidden="false" customHeight="false" outlineLevel="0" collapsed="false">
      <c r="K254" s="233" t="n">
        <f aca="false">F254*H254</f>
        <v>0</v>
      </c>
    </row>
    <row r="255" customFormat="false" ht="14" hidden="false" customHeight="false" outlineLevel="0" collapsed="false">
      <c r="K255" s="233" t="n">
        <f aca="false">F255*H255</f>
        <v>0</v>
      </c>
    </row>
    <row r="256" customFormat="false" ht="14" hidden="false" customHeight="false" outlineLevel="0" collapsed="false">
      <c r="K256" s="233" t="n">
        <f aca="false">F256*H256</f>
        <v>0</v>
      </c>
    </row>
    <row r="257" customFormat="false" ht="14" hidden="false" customHeight="false" outlineLevel="0" collapsed="false">
      <c r="K257" s="233" t="n">
        <f aca="false">F257*H257</f>
        <v>0</v>
      </c>
    </row>
    <row r="258" customFormat="false" ht="14" hidden="false" customHeight="false" outlineLevel="0" collapsed="false">
      <c r="K258" s="233" t="n">
        <f aca="false">F258*H258</f>
        <v>0</v>
      </c>
    </row>
    <row r="259" customFormat="false" ht="14" hidden="false" customHeight="false" outlineLevel="0" collapsed="false">
      <c r="K259" s="233" t="n">
        <f aca="false">F259*H259</f>
        <v>0</v>
      </c>
    </row>
    <row r="260" customFormat="false" ht="14" hidden="false" customHeight="false" outlineLevel="0" collapsed="false">
      <c r="K260" s="233" t="n">
        <f aca="false">F260*H260</f>
        <v>0</v>
      </c>
    </row>
    <row r="261" customFormat="false" ht="14" hidden="false" customHeight="false" outlineLevel="0" collapsed="false">
      <c r="K261" s="233" t="n">
        <f aca="false">F261*H261</f>
        <v>0</v>
      </c>
    </row>
    <row r="262" customFormat="false" ht="14" hidden="false" customHeight="false" outlineLevel="0" collapsed="false">
      <c r="K262" s="233" t="n">
        <f aca="false">F262*H262</f>
        <v>0</v>
      </c>
    </row>
    <row r="263" customFormat="false" ht="14" hidden="false" customHeight="false" outlineLevel="0" collapsed="false">
      <c r="K263" s="233" t="n">
        <f aca="false">F263*H263</f>
        <v>0</v>
      </c>
    </row>
    <row r="264" customFormat="false" ht="14" hidden="false" customHeight="false" outlineLevel="0" collapsed="false">
      <c r="K264" s="233" t="n">
        <f aca="false">F264*H264</f>
        <v>0</v>
      </c>
    </row>
    <row r="265" customFormat="false" ht="14" hidden="false" customHeight="false" outlineLevel="0" collapsed="false">
      <c r="K265" s="233" t="n">
        <f aca="false">F265*H265</f>
        <v>0</v>
      </c>
    </row>
    <row r="266" customFormat="false" ht="14" hidden="false" customHeight="false" outlineLevel="0" collapsed="false">
      <c r="K266" s="233" t="n">
        <f aca="false">F266*H266</f>
        <v>0</v>
      </c>
    </row>
    <row r="267" customFormat="false" ht="14" hidden="false" customHeight="false" outlineLevel="0" collapsed="false">
      <c r="K267" s="233" t="n">
        <f aca="false">F267*H267</f>
        <v>0</v>
      </c>
    </row>
    <row r="268" customFormat="false" ht="14" hidden="false" customHeight="false" outlineLevel="0" collapsed="false">
      <c r="K268" s="233" t="n">
        <f aca="false">F268*H268</f>
        <v>0</v>
      </c>
    </row>
    <row r="269" customFormat="false" ht="14" hidden="false" customHeight="false" outlineLevel="0" collapsed="false">
      <c r="K269" s="233" t="n">
        <f aca="false">F269*H269</f>
        <v>0</v>
      </c>
    </row>
    <row r="270" customFormat="false" ht="14" hidden="false" customHeight="false" outlineLevel="0" collapsed="false">
      <c r="K270" s="233" t="n">
        <f aca="false">F270*H270</f>
        <v>0</v>
      </c>
    </row>
    <row r="271" customFormat="false" ht="14" hidden="false" customHeight="false" outlineLevel="0" collapsed="false">
      <c r="K271" s="233" t="n">
        <f aca="false">F271*H271</f>
        <v>0</v>
      </c>
    </row>
    <row r="272" customFormat="false" ht="14" hidden="false" customHeight="false" outlineLevel="0" collapsed="false">
      <c r="K272" s="233" t="n">
        <f aca="false">F272*H272</f>
        <v>0</v>
      </c>
    </row>
    <row r="273" customFormat="false" ht="14" hidden="false" customHeight="false" outlineLevel="0" collapsed="false">
      <c r="K273" s="233" t="n">
        <f aca="false">F273*H273</f>
        <v>0</v>
      </c>
    </row>
    <row r="274" customFormat="false" ht="14" hidden="false" customHeight="false" outlineLevel="0" collapsed="false">
      <c r="K274" s="233" t="n">
        <f aca="false">F274*H274</f>
        <v>0</v>
      </c>
    </row>
    <row r="275" customFormat="false" ht="14" hidden="false" customHeight="false" outlineLevel="0" collapsed="false">
      <c r="K275" s="233" t="n">
        <f aca="false">F275*H275</f>
        <v>0</v>
      </c>
    </row>
    <row r="276" customFormat="false" ht="14" hidden="false" customHeight="false" outlineLevel="0" collapsed="false">
      <c r="K276" s="233" t="n">
        <f aca="false">F276*H276</f>
        <v>0</v>
      </c>
    </row>
    <row r="277" customFormat="false" ht="14" hidden="false" customHeight="false" outlineLevel="0" collapsed="false">
      <c r="K277" s="233" t="n">
        <f aca="false">F277*H277</f>
        <v>0</v>
      </c>
    </row>
    <row r="278" customFormat="false" ht="14" hidden="false" customHeight="false" outlineLevel="0" collapsed="false">
      <c r="K278" s="233" t="n">
        <f aca="false">F278*H278</f>
        <v>0</v>
      </c>
    </row>
    <row r="279" customFormat="false" ht="14" hidden="false" customHeight="false" outlineLevel="0" collapsed="false">
      <c r="K279" s="233" t="n">
        <f aca="false">F279*H279</f>
        <v>0</v>
      </c>
    </row>
    <row r="280" customFormat="false" ht="14" hidden="false" customHeight="false" outlineLevel="0" collapsed="false">
      <c r="K280" s="233" t="n">
        <f aca="false">F280*H280</f>
        <v>0</v>
      </c>
    </row>
    <row r="281" customFormat="false" ht="14" hidden="false" customHeight="false" outlineLevel="0" collapsed="false">
      <c r="K281" s="233" t="n">
        <f aca="false">F281*H281</f>
        <v>0</v>
      </c>
    </row>
    <row r="282" customFormat="false" ht="14" hidden="false" customHeight="false" outlineLevel="0" collapsed="false">
      <c r="K282" s="233" t="n">
        <f aca="false">F282*H282</f>
        <v>0</v>
      </c>
    </row>
    <row r="283" customFormat="false" ht="14" hidden="false" customHeight="false" outlineLevel="0" collapsed="false">
      <c r="K283" s="233" t="n">
        <f aca="false">F283*H283</f>
        <v>0</v>
      </c>
    </row>
    <row r="284" customFormat="false" ht="14" hidden="false" customHeight="false" outlineLevel="0" collapsed="false">
      <c r="K284" s="233" t="n">
        <f aca="false">F284*H284</f>
        <v>0</v>
      </c>
    </row>
    <row r="285" customFormat="false" ht="14" hidden="false" customHeight="false" outlineLevel="0" collapsed="false">
      <c r="K285" s="233" t="n">
        <f aca="false">F285*H285</f>
        <v>0</v>
      </c>
    </row>
    <row r="286" customFormat="false" ht="14" hidden="false" customHeight="false" outlineLevel="0" collapsed="false">
      <c r="K286" s="233" t="n">
        <f aca="false">F286*H286</f>
        <v>0</v>
      </c>
    </row>
    <row r="287" customFormat="false" ht="14" hidden="false" customHeight="false" outlineLevel="0" collapsed="false">
      <c r="K287" s="233" t="n">
        <f aca="false">F287*H287</f>
        <v>0</v>
      </c>
    </row>
    <row r="288" customFormat="false" ht="14" hidden="false" customHeight="false" outlineLevel="0" collapsed="false">
      <c r="K288" s="233" t="n">
        <f aca="false">F288*H288</f>
        <v>0</v>
      </c>
    </row>
    <row r="289" customFormat="false" ht="14" hidden="false" customHeight="false" outlineLevel="0" collapsed="false">
      <c r="K289" s="233" t="n">
        <f aca="false">F289*H289</f>
        <v>0</v>
      </c>
    </row>
    <row r="290" customFormat="false" ht="14" hidden="false" customHeight="false" outlineLevel="0" collapsed="false">
      <c r="K290" s="233" t="n">
        <f aca="false">F290*H290</f>
        <v>0</v>
      </c>
    </row>
    <row r="291" customFormat="false" ht="14" hidden="false" customHeight="false" outlineLevel="0" collapsed="false">
      <c r="K291" s="233" t="n">
        <f aca="false">F291*H291</f>
        <v>0</v>
      </c>
    </row>
    <row r="292" customFormat="false" ht="14" hidden="false" customHeight="false" outlineLevel="0" collapsed="false">
      <c r="K292" s="233" t="n">
        <f aca="false">F292*H292</f>
        <v>0</v>
      </c>
    </row>
    <row r="293" customFormat="false" ht="14" hidden="false" customHeight="false" outlineLevel="0" collapsed="false">
      <c r="K293" s="233" t="n">
        <f aca="false">F293*H293</f>
        <v>0</v>
      </c>
    </row>
    <row r="294" customFormat="false" ht="14" hidden="false" customHeight="false" outlineLevel="0" collapsed="false">
      <c r="K294" s="233" t="n">
        <f aca="false">F294*H294</f>
        <v>0</v>
      </c>
    </row>
    <row r="295" customFormat="false" ht="14" hidden="false" customHeight="false" outlineLevel="0" collapsed="false">
      <c r="K295" s="233" t="n">
        <f aca="false">F295*H295</f>
        <v>0</v>
      </c>
    </row>
    <row r="296" customFormat="false" ht="14" hidden="false" customHeight="false" outlineLevel="0" collapsed="false">
      <c r="K296" s="233" t="n">
        <f aca="false">F296*H296</f>
        <v>0</v>
      </c>
    </row>
    <row r="297" customFormat="false" ht="14" hidden="false" customHeight="false" outlineLevel="0" collapsed="false">
      <c r="K297" s="233" t="n">
        <f aca="false">F297*H297</f>
        <v>0</v>
      </c>
    </row>
    <row r="298" customFormat="false" ht="14" hidden="false" customHeight="false" outlineLevel="0" collapsed="false">
      <c r="K298" s="233" t="n">
        <f aca="false">F298*H298</f>
        <v>0</v>
      </c>
    </row>
    <row r="299" customFormat="false" ht="14" hidden="false" customHeight="false" outlineLevel="0" collapsed="false">
      <c r="K299" s="233" t="n">
        <f aca="false">F299*H299</f>
        <v>0</v>
      </c>
    </row>
    <row r="300" customFormat="false" ht="14" hidden="false" customHeight="false" outlineLevel="0" collapsed="false">
      <c r="K300" s="233" t="n">
        <f aca="false">F300*H300</f>
        <v>0</v>
      </c>
    </row>
    <row r="301" customFormat="false" ht="14" hidden="false" customHeight="false" outlineLevel="0" collapsed="false">
      <c r="K301" s="233" t="n">
        <f aca="false">F301*H301</f>
        <v>0</v>
      </c>
    </row>
    <row r="302" customFormat="false" ht="14" hidden="false" customHeight="false" outlineLevel="0" collapsed="false">
      <c r="K302" s="233" t="n">
        <f aca="false">F302*H302</f>
        <v>0</v>
      </c>
    </row>
    <row r="303" customFormat="false" ht="14" hidden="false" customHeight="false" outlineLevel="0" collapsed="false">
      <c r="K303" s="233" t="n">
        <f aca="false">F303*H303</f>
        <v>0</v>
      </c>
    </row>
    <row r="304" customFormat="false" ht="14" hidden="false" customHeight="false" outlineLevel="0" collapsed="false">
      <c r="K304" s="233" t="n">
        <f aca="false">F304*H304</f>
        <v>0</v>
      </c>
    </row>
    <row r="305" customFormat="false" ht="14" hidden="false" customHeight="false" outlineLevel="0" collapsed="false">
      <c r="K305" s="233" t="n">
        <f aca="false">F305*H305</f>
        <v>0</v>
      </c>
    </row>
    <row r="306" customFormat="false" ht="14" hidden="false" customHeight="false" outlineLevel="0" collapsed="false">
      <c r="K306" s="233" t="n">
        <f aca="false">F306*H306</f>
        <v>0</v>
      </c>
    </row>
    <row r="307" customFormat="false" ht="14" hidden="false" customHeight="false" outlineLevel="0" collapsed="false">
      <c r="K307" s="233" t="n">
        <f aca="false">F307*H307</f>
        <v>0</v>
      </c>
    </row>
    <row r="308" customFormat="false" ht="14" hidden="false" customHeight="false" outlineLevel="0" collapsed="false">
      <c r="K308" s="233" t="n">
        <f aca="false">F308*H308</f>
        <v>0</v>
      </c>
    </row>
    <row r="309" customFormat="false" ht="14" hidden="false" customHeight="false" outlineLevel="0" collapsed="false">
      <c r="K309" s="233" t="n">
        <f aca="false">F309*H309</f>
        <v>0</v>
      </c>
    </row>
    <row r="310" customFormat="false" ht="14" hidden="false" customHeight="false" outlineLevel="0" collapsed="false">
      <c r="K310" s="233" t="n">
        <f aca="false">F310*H310</f>
        <v>0</v>
      </c>
    </row>
    <row r="311" customFormat="false" ht="14" hidden="false" customHeight="false" outlineLevel="0" collapsed="false">
      <c r="K311" s="233" t="n">
        <f aca="false">F311*H311</f>
        <v>0</v>
      </c>
    </row>
    <row r="312" customFormat="false" ht="14" hidden="false" customHeight="false" outlineLevel="0" collapsed="false">
      <c r="K312" s="233" t="n">
        <f aca="false">F312*H312</f>
        <v>0</v>
      </c>
    </row>
    <row r="313" customFormat="false" ht="14" hidden="false" customHeight="false" outlineLevel="0" collapsed="false">
      <c r="K313" s="233" t="n">
        <f aca="false">F313*H313</f>
        <v>0</v>
      </c>
    </row>
    <row r="314" customFormat="false" ht="14" hidden="false" customHeight="false" outlineLevel="0" collapsed="false">
      <c r="K314" s="233" t="n">
        <f aca="false">F314*H314</f>
        <v>0</v>
      </c>
    </row>
    <row r="315" customFormat="false" ht="14" hidden="false" customHeight="false" outlineLevel="0" collapsed="false">
      <c r="K315" s="233" t="n">
        <f aca="false">F315*H315</f>
        <v>0</v>
      </c>
    </row>
    <row r="316" customFormat="false" ht="14" hidden="false" customHeight="false" outlineLevel="0" collapsed="false">
      <c r="K316" s="233" t="n">
        <f aca="false">F316*H316</f>
        <v>0</v>
      </c>
    </row>
    <row r="317" customFormat="false" ht="14" hidden="false" customHeight="false" outlineLevel="0" collapsed="false">
      <c r="K317" s="233" t="n">
        <f aca="false">F317*H317</f>
        <v>0</v>
      </c>
    </row>
    <row r="318" customFormat="false" ht="14" hidden="false" customHeight="false" outlineLevel="0" collapsed="false">
      <c r="K318" s="233" t="n">
        <f aca="false">F318*H318</f>
        <v>0</v>
      </c>
    </row>
    <row r="319" customFormat="false" ht="14" hidden="false" customHeight="false" outlineLevel="0" collapsed="false">
      <c r="K319" s="233" t="n">
        <f aca="false">F319*H319</f>
        <v>0</v>
      </c>
    </row>
    <row r="320" customFormat="false" ht="14" hidden="false" customHeight="false" outlineLevel="0" collapsed="false">
      <c r="K320" s="233" t="n">
        <f aca="false">F320*H320</f>
        <v>0</v>
      </c>
    </row>
    <row r="321" customFormat="false" ht="14" hidden="false" customHeight="false" outlineLevel="0" collapsed="false">
      <c r="K321" s="233" t="n">
        <f aca="false">F321*H321</f>
        <v>0</v>
      </c>
    </row>
    <row r="322" customFormat="false" ht="14" hidden="false" customHeight="false" outlineLevel="0" collapsed="false">
      <c r="K322" s="233" t="n">
        <f aca="false">F322*H322</f>
        <v>0</v>
      </c>
    </row>
    <row r="323" customFormat="false" ht="14" hidden="false" customHeight="false" outlineLevel="0" collapsed="false">
      <c r="K323" s="233" t="n">
        <f aca="false">F323*H323</f>
        <v>0</v>
      </c>
    </row>
    <row r="324" customFormat="false" ht="14" hidden="false" customHeight="false" outlineLevel="0" collapsed="false">
      <c r="K324" s="233" t="n">
        <f aca="false">F324*H324</f>
        <v>0</v>
      </c>
    </row>
    <row r="325" customFormat="false" ht="14" hidden="false" customHeight="false" outlineLevel="0" collapsed="false">
      <c r="K325" s="233" t="n">
        <f aca="false">F325*H325</f>
        <v>0</v>
      </c>
    </row>
    <row r="326" customFormat="false" ht="14" hidden="false" customHeight="false" outlineLevel="0" collapsed="false">
      <c r="K326" s="233" t="n">
        <f aca="false">F326*H326</f>
        <v>0</v>
      </c>
    </row>
    <row r="327" customFormat="false" ht="14" hidden="false" customHeight="false" outlineLevel="0" collapsed="false">
      <c r="K327" s="233" t="n">
        <f aca="false">F327*H327</f>
        <v>0</v>
      </c>
    </row>
    <row r="328" customFormat="false" ht="14" hidden="false" customHeight="false" outlineLevel="0" collapsed="false">
      <c r="K328" s="233" t="n">
        <f aca="false">F328*H328</f>
        <v>0</v>
      </c>
    </row>
    <row r="329" customFormat="false" ht="14" hidden="false" customHeight="false" outlineLevel="0" collapsed="false">
      <c r="K329" s="233" t="n">
        <f aca="false">F329*H329</f>
        <v>0</v>
      </c>
    </row>
    <row r="330" customFormat="false" ht="14" hidden="false" customHeight="false" outlineLevel="0" collapsed="false">
      <c r="K330" s="233" t="n">
        <f aca="false">F330*H330</f>
        <v>0</v>
      </c>
    </row>
    <row r="331" customFormat="false" ht="14" hidden="false" customHeight="false" outlineLevel="0" collapsed="false">
      <c r="K331" s="233" t="n">
        <f aca="false">F331*H331</f>
        <v>0</v>
      </c>
    </row>
    <row r="332" customFormat="false" ht="14" hidden="false" customHeight="false" outlineLevel="0" collapsed="false">
      <c r="K332" s="233" t="n">
        <f aca="false">F332*H332</f>
        <v>0</v>
      </c>
    </row>
    <row r="333" customFormat="false" ht="14" hidden="false" customHeight="false" outlineLevel="0" collapsed="false">
      <c r="K333" s="233" t="n">
        <f aca="false">F333*H333</f>
        <v>0</v>
      </c>
    </row>
    <row r="334" customFormat="false" ht="14" hidden="false" customHeight="false" outlineLevel="0" collapsed="false">
      <c r="K334" s="233" t="n">
        <f aca="false">F334*H334</f>
        <v>0</v>
      </c>
    </row>
    <row r="335" customFormat="false" ht="14" hidden="false" customHeight="false" outlineLevel="0" collapsed="false">
      <c r="K335" s="233" t="n">
        <f aca="false">F335*H335</f>
        <v>0</v>
      </c>
    </row>
    <row r="336" customFormat="false" ht="14" hidden="false" customHeight="false" outlineLevel="0" collapsed="false">
      <c r="K336" s="233" t="n">
        <f aca="false">F336*H336</f>
        <v>0</v>
      </c>
    </row>
    <row r="337" customFormat="false" ht="14" hidden="false" customHeight="false" outlineLevel="0" collapsed="false">
      <c r="K337" s="233" t="n">
        <f aca="false">F337*H337</f>
        <v>0</v>
      </c>
    </row>
    <row r="338" customFormat="false" ht="14" hidden="false" customHeight="false" outlineLevel="0" collapsed="false">
      <c r="K338" s="233" t="n">
        <f aca="false">F338*H338</f>
        <v>0</v>
      </c>
    </row>
    <row r="339" customFormat="false" ht="14" hidden="false" customHeight="false" outlineLevel="0" collapsed="false">
      <c r="K339" s="233" t="n">
        <f aca="false">F339*H339</f>
        <v>0</v>
      </c>
    </row>
    <row r="340" customFormat="false" ht="14" hidden="false" customHeight="false" outlineLevel="0" collapsed="false">
      <c r="K340" s="233" t="n">
        <f aca="false">F340*H340</f>
        <v>0</v>
      </c>
    </row>
    <row r="341" customFormat="false" ht="14" hidden="false" customHeight="false" outlineLevel="0" collapsed="false">
      <c r="K341" s="233" t="n">
        <f aca="false">F341*H341</f>
        <v>0</v>
      </c>
    </row>
    <row r="342" customFormat="false" ht="14" hidden="false" customHeight="false" outlineLevel="0" collapsed="false">
      <c r="K342" s="233" t="n">
        <f aca="false">F342*H342</f>
        <v>0</v>
      </c>
    </row>
    <row r="343" customFormat="false" ht="14" hidden="false" customHeight="false" outlineLevel="0" collapsed="false">
      <c r="K343" s="233" t="n">
        <f aca="false">F343*H343</f>
        <v>0</v>
      </c>
    </row>
    <row r="344" customFormat="false" ht="14" hidden="false" customHeight="false" outlineLevel="0" collapsed="false">
      <c r="K344" s="233" t="n">
        <f aca="false">F344*H344</f>
        <v>0</v>
      </c>
    </row>
    <row r="345" customFormat="false" ht="14" hidden="false" customHeight="false" outlineLevel="0" collapsed="false">
      <c r="K345" s="233" t="n">
        <f aca="false">F345*H345</f>
        <v>0</v>
      </c>
    </row>
    <row r="346" customFormat="false" ht="14" hidden="false" customHeight="false" outlineLevel="0" collapsed="false">
      <c r="K346" s="233" t="n">
        <f aca="false">F346*H346</f>
        <v>0</v>
      </c>
    </row>
    <row r="347" customFormat="false" ht="14" hidden="false" customHeight="false" outlineLevel="0" collapsed="false">
      <c r="K347" s="233" t="n">
        <f aca="false">F347*H347</f>
        <v>0</v>
      </c>
    </row>
    <row r="348" customFormat="false" ht="14" hidden="false" customHeight="false" outlineLevel="0" collapsed="false">
      <c r="K348" s="233" t="n">
        <f aca="false">F348*H348</f>
        <v>0</v>
      </c>
    </row>
    <row r="349" customFormat="false" ht="14" hidden="false" customHeight="false" outlineLevel="0" collapsed="false">
      <c r="K349" s="233" t="n">
        <f aca="false">F349*H349</f>
        <v>0</v>
      </c>
    </row>
    <row r="350" customFormat="false" ht="14" hidden="false" customHeight="false" outlineLevel="0" collapsed="false">
      <c r="K350" s="233" t="n">
        <f aca="false">F350*H350</f>
        <v>0</v>
      </c>
    </row>
    <row r="351" customFormat="false" ht="14" hidden="false" customHeight="false" outlineLevel="0" collapsed="false">
      <c r="K351" s="233" t="n">
        <f aca="false">F351*H351</f>
        <v>0</v>
      </c>
    </row>
    <row r="352" customFormat="false" ht="14" hidden="false" customHeight="false" outlineLevel="0" collapsed="false">
      <c r="K352" s="233" t="n">
        <f aca="false">F352*H352</f>
        <v>0</v>
      </c>
    </row>
    <row r="353" customFormat="false" ht="14" hidden="false" customHeight="false" outlineLevel="0" collapsed="false">
      <c r="K353" s="233" t="n">
        <f aca="false">F353*H353</f>
        <v>0</v>
      </c>
    </row>
  </sheetData>
  <sheetProtection sheet="true" objects="true" scenarios="true"/>
  <mergeCells count="9">
    <mergeCell ref="A1:I1"/>
    <mergeCell ref="A2:I2"/>
    <mergeCell ref="A3:I3"/>
    <mergeCell ref="A4:I4"/>
    <mergeCell ref="A5:I5"/>
    <mergeCell ref="A6:I6"/>
    <mergeCell ref="A7:I7"/>
    <mergeCell ref="A8:I8"/>
    <mergeCell ref="A10:I10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4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&amp;L </oddHeader>
    <oddFooter>&amp;L &amp;R&amp;P de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RowHeight="12.5" zeroHeight="false" outlineLevelRow="0" outlineLevelCol="0"/>
  <cols>
    <col collapsed="false" customWidth="true" hidden="false" outlineLevel="0" max="1" min="1" style="1" width="22.83"/>
    <col collapsed="false" customWidth="true" hidden="false" outlineLevel="0" max="2" min="2" style="1" width="49.83"/>
    <col collapsed="false" customWidth="true" hidden="false" outlineLevel="0" max="3" min="3" style="1" width="9.5"/>
    <col collapsed="false" customWidth="true" hidden="false" outlineLevel="0" max="4" min="4" style="2" width="15.09"/>
    <col collapsed="false" customWidth="true" hidden="false" outlineLevel="0" max="256" min="5" style="1" width="7.84"/>
    <col collapsed="false" customWidth="true" hidden="false" outlineLevel="0" max="257" min="257" style="1" width="22.83"/>
    <col collapsed="false" customWidth="true" hidden="false" outlineLevel="0" max="258" min="258" style="1" width="49.83"/>
    <col collapsed="false" customWidth="true" hidden="false" outlineLevel="0" max="259" min="259" style="1" width="9.5"/>
    <col collapsed="false" customWidth="true" hidden="false" outlineLevel="0" max="260" min="260" style="1" width="15.09"/>
    <col collapsed="false" customWidth="true" hidden="false" outlineLevel="0" max="512" min="261" style="1" width="7.84"/>
    <col collapsed="false" customWidth="true" hidden="false" outlineLevel="0" max="513" min="513" style="1" width="22.83"/>
    <col collapsed="false" customWidth="true" hidden="false" outlineLevel="0" max="514" min="514" style="1" width="49.83"/>
    <col collapsed="false" customWidth="true" hidden="false" outlineLevel="0" max="515" min="515" style="1" width="9.5"/>
    <col collapsed="false" customWidth="true" hidden="false" outlineLevel="0" max="516" min="516" style="1" width="15.09"/>
    <col collapsed="false" customWidth="true" hidden="false" outlineLevel="0" max="768" min="517" style="1" width="7.84"/>
    <col collapsed="false" customWidth="true" hidden="false" outlineLevel="0" max="769" min="769" style="1" width="22.83"/>
    <col collapsed="false" customWidth="true" hidden="false" outlineLevel="0" max="770" min="770" style="1" width="49.83"/>
    <col collapsed="false" customWidth="true" hidden="false" outlineLevel="0" max="771" min="771" style="1" width="9.5"/>
    <col collapsed="false" customWidth="true" hidden="false" outlineLevel="0" max="772" min="772" style="1" width="15.09"/>
    <col collapsed="false" customWidth="true" hidden="false" outlineLevel="0" max="1025" min="773" style="1" width="7.84"/>
  </cols>
  <sheetData>
    <row r="1" customFormat="false" ht="12.5" hidden="false" customHeight="false" outlineLevel="0" collapsed="false">
      <c r="A1" s="242"/>
      <c r="B1" s="242"/>
      <c r="C1" s="242"/>
      <c r="D1" s="242"/>
    </row>
    <row r="2" customFormat="false" ht="13" hidden="false" customHeight="false" outlineLevel="0" collapsed="false">
      <c r="A2" s="243" t="s">
        <v>0</v>
      </c>
      <c r="B2" s="243"/>
      <c r="C2" s="243"/>
      <c r="D2" s="243"/>
      <c r="E2" s="8"/>
    </row>
    <row r="3" customFormat="false" ht="13" hidden="false" customHeight="false" outlineLevel="0" collapsed="false">
      <c r="A3" s="243" t="s">
        <v>1</v>
      </c>
      <c r="B3" s="243"/>
      <c r="C3" s="243"/>
      <c r="D3" s="243"/>
      <c r="E3" s="8"/>
    </row>
    <row r="4" customFormat="false" ht="12.5" hidden="false" customHeight="false" outlineLevel="0" collapsed="false">
      <c r="A4" s="242"/>
      <c r="B4" s="242"/>
      <c r="C4" s="242"/>
      <c r="D4" s="242"/>
    </row>
    <row r="5" customFormat="false" ht="15.5" hidden="false" customHeight="false" outlineLevel="0" collapsed="false">
      <c r="A5" s="244" t="str">
        <f aca="false">INSTRUÇÕES!A6</f>
        <v>OBRA: SFCR DA PROCURADORIA DA REPÚBLICA EM GOIÁS (PR-GO)</v>
      </c>
      <c r="B5" s="244"/>
      <c r="C5" s="244"/>
      <c r="D5" s="244"/>
      <c r="E5" s="245"/>
    </row>
    <row r="6" customFormat="false" ht="13" hidden="false" customHeight="false" outlineLevel="0" collapsed="false">
      <c r="A6" s="4" t="s">
        <v>569</v>
      </c>
      <c r="B6" s="4"/>
      <c r="C6" s="4"/>
      <c r="D6" s="4"/>
      <c r="E6" s="8"/>
    </row>
    <row r="7" customFormat="false" ht="13" hidden="false" customHeight="false" outlineLevel="0" collapsed="false">
      <c r="A7" s="4"/>
      <c r="B7" s="4"/>
      <c r="C7" s="4"/>
      <c r="D7" s="4"/>
      <c r="E7" s="8"/>
    </row>
    <row r="8" customFormat="false" ht="20.15" hidden="false" customHeight="true" outlineLevel="0" collapsed="false">
      <c r="A8" s="246" t="s">
        <v>570</v>
      </c>
      <c r="B8" s="247" t="s">
        <v>571</v>
      </c>
      <c r="C8" s="247"/>
      <c r="D8" s="247"/>
    </row>
    <row r="9" customFormat="false" ht="15" hidden="false" customHeight="true" outlineLevel="0" collapsed="false">
      <c r="A9" s="248" t="n">
        <v>1</v>
      </c>
      <c r="B9" s="249" t="s">
        <v>572</v>
      </c>
      <c r="C9" s="250" t="s">
        <v>573</v>
      </c>
      <c r="D9" s="251" t="n">
        <v>1.1542</v>
      </c>
    </row>
    <row r="10" customFormat="false" ht="15" hidden="false" customHeight="true" outlineLevel="0" collapsed="false">
      <c r="A10" s="252" t="n">
        <v>2</v>
      </c>
      <c r="B10" s="253" t="s">
        <v>574</v>
      </c>
      <c r="C10" s="250"/>
      <c r="D10" s="254" t="n">
        <v>0.7281</v>
      </c>
    </row>
    <row r="11" customFormat="false" ht="15" hidden="false" customHeight="true" outlineLevel="0" collapsed="false">
      <c r="A11" s="255"/>
      <c r="B11" s="255"/>
      <c r="C11" s="255"/>
      <c r="D11" s="255"/>
    </row>
    <row r="12" customFormat="false" ht="20.15" hidden="false" customHeight="true" outlineLevel="0" collapsed="false">
      <c r="A12" s="246" t="s">
        <v>570</v>
      </c>
      <c r="B12" s="247" t="s">
        <v>575</v>
      </c>
      <c r="C12" s="247"/>
      <c r="D12" s="247"/>
    </row>
    <row r="13" customFormat="false" ht="15" hidden="false" customHeight="true" outlineLevel="0" collapsed="false">
      <c r="A13" s="248" t="n">
        <v>1</v>
      </c>
      <c r="B13" s="249" t="s">
        <v>576</v>
      </c>
      <c r="C13" s="256" t="s">
        <v>577</v>
      </c>
      <c r="D13" s="257" t="n">
        <v>0.0127</v>
      </c>
    </row>
    <row r="14" customFormat="false" ht="15" hidden="false" customHeight="true" outlineLevel="0" collapsed="false">
      <c r="A14" s="258" t="n">
        <v>2</v>
      </c>
      <c r="B14" s="259" t="s">
        <v>578</v>
      </c>
      <c r="C14" s="260" t="s">
        <v>579</v>
      </c>
      <c r="D14" s="261" t="n">
        <v>0.005</v>
      </c>
    </row>
    <row r="15" customFormat="false" ht="15" hidden="false" customHeight="true" outlineLevel="0" collapsed="false">
      <c r="A15" s="258" t="n">
        <v>3</v>
      </c>
      <c r="B15" s="259" t="s">
        <v>580</v>
      </c>
      <c r="C15" s="260" t="s">
        <v>581</v>
      </c>
      <c r="D15" s="261" t="n">
        <v>0.003</v>
      </c>
    </row>
    <row r="16" customFormat="false" ht="15" hidden="false" customHeight="true" outlineLevel="0" collapsed="false">
      <c r="A16" s="258" t="n">
        <v>4</v>
      </c>
      <c r="B16" s="262" t="s">
        <v>582</v>
      </c>
      <c r="C16" s="263" t="s">
        <v>583</v>
      </c>
      <c r="D16" s="264" t="n">
        <v>0.0123</v>
      </c>
    </row>
    <row r="17" customFormat="false" ht="15" hidden="false" customHeight="true" outlineLevel="0" collapsed="false">
      <c r="A17" s="258" t="n">
        <v>5</v>
      </c>
      <c r="B17" s="262" t="s">
        <v>584</v>
      </c>
      <c r="C17" s="263" t="s">
        <v>585</v>
      </c>
      <c r="D17" s="264" t="n">
        <v>0.04</v>
      </c>
    </row>
    <row r="18" customFormat="false" ht="15" hidden="false" customHeight="true" outlineLevel="0" collapsed="false">
      <c r="A18" s="258" t="n">
        <v>6</v>
      </c>
      <c r="B18" s="262" t="s">
        <v>586</v>
      </c>
      <c r="C18" s="263" t="s">
        <v>384</v>
      </c>
      <c r="D18" s="264" t="n">
        <v>0.074</v>
      </c>
    </row>
    <row r="19" customFormat="false" ht="15" hidden="false" customHeight="true" outlineLevel="0" collapsed="false">
      <c r="A19" s="258" t="n">
        <v>7</v>
      </c>
      <c r="B19" s="262" t="s">
        <v>587</v>
      </c>
      <c r="C19" s="265" t="s">
        <v>588</v>
      </c>
      <c r="D19" s="266" t="n">
        <v>0.03</v>
      </c>
    </row>
    <row r="20" customFormat="false" ht="15" hidden="false" customHeight="true" outlineLevel="0" collapsed="false">
      <c r="A20" s="258" t="n">
        <v>8</v>
      </c>
      <c r="B20" s="262" t="s">
        <v>589</v>
      </c>
      <c r="C20" s="265"/>
      <c r="D20" s="264" t="n">
        <v>0.0065</v>
      </c>
    </row>
    <row r="21" customFormat="false" ht="15" hidden="false" customHeight="true" outlineLevel="0" collapsed="false">
      <c r="A21" s="258" t="n">
        <v>9</v>
      </c>
      <c r="B21" s="262" t="s">
        <v>590</v>
      </c>
      <c r="C21" s="265"/>
      <c r="D21" s="264" t="n">
        <v>0</v>
      </c>
    </row>
    <row r="22" customFormat="false" ht="15" hidden="false" customHeight="true" outlineLevel="0" collapsed="false">
      <c r="A22" s="267" t="n">
        <v>10</v>
      </c>
      <c r="B22" s="253" t="s">
        <v>591</v>
      </c>
      <c r="C22" s="265"/>
      <c r="D22" s="268" t="n">
        <v>0.02</v>
      </c>
    </row>
    <row r="23" s="11" customFormat="true" ht="40" hidden="false" customHeight="true" outlineLevel="0" collapsed="false">
      <c r="A23" s="269" t="s">
        <v>592</v>
      </c>
      <c r="B23" s="270" t="s">
        <v>593</v>
      </c>
      <c r="C23" s="271" t="s">
        <v>594</v>
      </c>
      <c r="D23" s="272" t="n">
        <f aca="false">TRUNC((((((1+(D13+D14+D15+D17))*(1+D16)*(1+D18))/(1-(SUM(D19:D22))))-1)),4)</f>
        <v>0.2222</v>
      </c>
    </row>
  </sheetData>
  <sheetProtection sheet="true"/>
  <mergeCells count="11">
    <mergeCell ref="A1:D1"/>
    <mergeCell ref="A2:D2"/>
    <mergeCell ref="A3:D3"/>
    <mergeCell ref="A4:D4"/>
    <mergeCell ref="A5:D5"/>
    <mergeCell ref="A6:D6"/>
    <mergeCell ref="B8:D8"/>
    <mergeCell ref="C9:C10"/>
    <mergeCell ref="A11:D11"/>
    <mergeCell ref="B12:D12"/>
    <mergeCell ref="C19:C22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7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 de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9"/>
  <sheetViews>
    <sheetView showFormulas="false" showGridLines="true" showRowColHeaders="true" showZeros="true" rightToLeft="false" tabSelected="false" showOutlineSymbols="true" defaultGridColor="true" view="normal" topLeftCell="A12" colorId="64" zoomScale="85" zoomScaleNormal="85" zoomScalePageLayoutView="100" workbookViewId="0">
      <selection pane="topLeft" activeCell="I13" activeCellId="0" sqref="I13"/>
    </sheetView>
  </sheetViews>
  <sheetFormatPr defaultRowHeight="17.5" zeroHeight="false" outlineLevelRow="0" outlineLevelCol="0"/>
  <cols>
    <col collapsed="false" customWidth="true" hidden="false" outlineLevel="0" max="1" min="1" style="273" width="8.5"/>
    <col collapsed="false" customWidth="true" hidden="false" outlineLevel="0" max="2" min="2" style="274" width="57.83"/>
    <col collapsed="false" customWidth="true" hidden="false" outlineLevel="0" max="3" min="3" style="275" width="20.25"/>
    <col collapsed="false" customWidth="true" hidden="false" outlineLevel="0" max="7" min="4" style="275" width="18.08"/>
    <col collapsed="false" customWidth="true" hidden="false" outlineLevel="0" max="9" min="8" style="276" width="18.08"/>
    <col collapsed="false" customWidth="true" hidden="false" outlineLevel="0" max="253" min="10" style="276" width="7.84"/>
    <col collapsed="false" customWidth="true" hidden="false" outlineLevel="0" max="254" min="254" style="276" width="8.5"/>
    <col collapsed="false" customWidth="true" hidden="false" outlineLevel="0" max="255" min="255" style="276" width="57.83"/>
    <col collapsed="false" customWidth="true" hidden="false" outlineLevel="0" max="256" min="256" style="276" width="20.25"/>
    <col collapsed="false" customWidth="true" hidden="false" outlineLevel="0" max="263" min="257" style="276" width="18.08"/>
    <col collapsed="false" customWidth="true" hidden="false" outlineLevel="0" max="264" min="264" style="276" width="9.33"/>
    <col collapsed="false" customWidth="true" hidden="false" outlineLevel="0" max="265" min="265" style="276" width="11.83"/>
    <col collapsed="false" customWidth="true" hidden="false" outlineLevel="0" max="509" min="266" style="276" width="7.84"/>
    <col collapsed="false" customWidth="true" hidden="false" outlineLevel="0" max="510" min="510" style="276" width="8.5"/>
    <col collapsed="false" customWidth="true" hidden="false" outlineLevel="0" max="511" min="511" style="276" width="57.83"/>
    <col collapsed="false" customWidth="true" hidden="false" outlineLevel="0" max="512" min="512" style="276" width="20.25"/>
    <col collapsed="false" customWidth="true" hidden="false" outlineLevel="0" max="519" min="513" style="276" width="18.08"/>
    <col collapsed="false" customWidth="true" hidden="false" outlineLevel="0" max="520" min="520" style="276" width="9.33"/>
    <col collapsed="false" customWidth="true" hidden="false" outlineLevel="0" max="521" min="521" style="276" width="11.83"/>
    <col collapsed="false" customWidth="true" hidden="false" outlineLevel="0" max="765" min="522" style="276" width="7.84"/>
    <col collapsed="false" customWidth="true" hidden="false" outlineLevel="0" max="766" min="766" style="276" width="8.5"/>
    <col collapsed="false" customWidth="true" hidden="false" outlineLevel="0" max="767" min="767" style="276" width="57.83"/>
    <col collapsed="false" customWidth="true" hidden="false" outlineLevel="0" max="768" min="768" style="276" width="20.25"/>
    <col collapsed="false" customWidth="true" hidden="false" outlineLevel="0" max="775" min="769" style="276" width="18.08"/>
    <col collapsed="false" customWidth="true" hidden="false" outlineLevel="0" max="776" min="776" style="276" width="9.33"/>
    <col collapsed="false" customWidth="true" hidden="false" outlineLevel="0" max="777" min="777" style="276" width="11.83"/>
    <col collapsed="false" customWidth="true" hidden="false" outlineLevel="0" max="1021" min="778" style="276" width="7.84"/>
    <col collapsed="false" customWidth="true" hidden="false" outlineLevel="0" max="1022" min="1022" style="276" width="8.5"/>
    <col collapsed="false" customWidth="true" hidden="false" outlineLevel="0" max="1023" min="1023" style="276" width="57.83"/>
    <col collapsed="false" customWidth="true" hidden="false" outlineLevel="0" max="1025" min="1024" style="276" width="20.25"/>
  </cols>
  <sheetData>
    <row r="1" s="279" customFormat="true" ht="15" hidden="false" customHeight="true" outlineLevel="0" collapsed="false">
      <c r="A1" s="277"/>
      <c r="B1" s="277"/>
      <c r="C1" s="277"/>
      <c r="D1" s="278"/>
      <c r="E1" s="278"/>
      <c r="F1" s="278"/>
      <c r="G1" s="278"/>
      <c r="H1" s="277"/>
    </row>
    <row r="2" s="279" customFormat="true" ht="15" hidden="false" customHeight="true" outlineLevel="0" collapsed="false">
      <c r="A2" s="280"/>
      <c r="B2" s="280"/>
      <c r="C2" s="280"/>
      <c r="D2" s="281" t="str">
        <f aca="false">INSTRUÇÕES!A2</f>
        <v>PROCURADORIA GERAL DA REPÚBLICA</v>
      </c>
      <c r="E2" s="281"/>
      <c r="F2" s="281"/>
      <c r="G2" s="281"/>
      <c r="H2" s="280"/>
    </row>
    <row r="3" s="279" customFormat="true" ht="15" hidden="false" customHeight="true" outlineLevel="0" collapsed="false">
      <c r="A3" s="280"/>
      <c r="B3" s="280"/>
      <c r="C3" s="280"/>
      <c r="D3" s="281" t="str">
        <f aca="false">INSTRUÇÕES!A3</f>
        <v>SECRETARIA DE ENGENHARIA E ARQUITETURA</v>
      </c>
      <c r="E3" s="281"/>
      <c r="F3" s="281"/>
      <c r="G3" s="281"/>
      <c r="H3" s="280"/>
    </row>
    <row r="4" s="279" customFormat="true" ht="15" hidden="false" customHeight="true" outlineLevel="0" collapsed="false">
      <c r="A4" s="280"/>
      <c r="B4" s="280"/>
      <c r="C4" s="280"/>
      <c r="D4" s="281"/>
      <c r="E4" s="281"/>
      <c r="F4" s="281"/>
      <c r="G4" s="281"/>
      <c r="H4" s="280"/>
    </row>
    <row r="5" s="284" customFormat="true" ht="15" hidden="false" customHeight="true" outlineLevel="0" collapsed="false">
      <c r="A5" s="282"/>
      <c r="B5" s="282"/>
      <c r="C5" s="282"/>
      <c r="D5" s="283" t="str">
        <f aca="false">INSTRUÇÕES!A6</f>
        <v>OBRA: SFCR DA PROCURADORIA DA REPÚBLICA EM GOIÁS (PR-GO)</v>
      </c>
      <c r="E5" s="283"/>
      <c r="F5" s="283"/>
      <c r="G5" s="283"/>
      <c r="H5" s="282"/>
    </row>
    <row r="6" s="284" customFormat="true" ht="30" hidden="false" customHeight="true" outlineLevel="0" collapsed="false">
      <c r="A6" s="285"/>
      <c r="B6" s="285"/>
      <c r="C6" s="285"/>
      <c r="D6" s="286" t="s">
        <v>595</v>
      </c>
      <c r="E6" s="286"/>
      <c r="F6" s="286"/>
      <c r="G6" s="286"/>
      <c r="H6" s="285"/>
    </row>
    <row r="7" s="284" customFormat="true" ht="18" hidden="false" customHeight="true" outlineLevel="0" collapsed="false">
      <c r="A7" s="285"/>
      <c r="B7" s="285"/>
      <c r="C7" s="285"/>
      <c r="D7" s="285"/>
      <c r="E7" s="285"/>
      <c r="F7" s="285"/>
      <c r="G7" s="285"/>
      <c r="H7" s="285"/>
    </row>
    <row r="8" s="291" customFormat="true" ht="45" hidden="false" customHeight="true" outlineLevel="0" collapsed="false">
      <c r="A8" s="287" t="s">
        <v>17</v>
      </c>
      <c r="B8" s="288" t="s">
        <v>20</v>
      </c>
      <c r="C8" s="289" t="s">
        <v>596</v>
      </c>
      <c r="D8" s="290" t="s">
        <v>597</v>
      </c>
      <c r="E8" s="290" t="s">
        <v>598</v>
      </c>
      <c r="F8" s="290" t="s">
        <v>599</v>
      </c>
      <c r="G8" s="290" t="s">
        <v>600</v>
      </c>
      <c r="H8" s="290" t="s">
        <v>107</v>
      </c>
    </row>
    <row r="9" s="291" customFormat="true" ht="30" hidden="false" customHeight="true" outlineLevel="0" collapsed="false">
      <c r="A9" s="292" t="s">
        <v>601</v>
      </c>
      <c r="B9" s="293" t="str">
        <f aca="false">[1]SINTÉTICA!D14</f>
        <v>SERVIÇOS PRELIMINARES</v>
      </c>
      <c r="C9" s="294" t="n">
        <f aca="false">SINTÉTICA!I14</f>
        <v>3127.32</v>
      </c>
      <c r="D9" s="295" t="n">
        <f aca="false">$C9*D10</f>
        <v>842.52</v>
      </c>
      <c r="E9" s="295" t="n">
        <f aca="false">$C9*E10</f>
        <v>0</v>
      </c>
      <c r="F9" s="295" t="n">
        <f aca="false">$C9*F10</f>
        <v>2284.8</v>
      </c>
      <c r="G9" s="295" t="n">
        <f aca="false">$C9*G10</f>
        <v>0</v>
      </c>
      <c r="H9" s="296" t="n">
        <f aca="false">SUM(D9:G9)</f>
        <v>3127.32</v>
      </c>
      <c r="I9" s="297"/>
    </row>
    <row r="10" s="291" customFormat="true" ht="30" hidden="false" customHeight="true" outlineLevel="0" collapsed="false">
      <c r="A10" s="292"/>
      <c r="B10" s="293"/>
      <c r="C10" s="294"/>
      <c r="D10" s="298" t="n">
        <v>0.269406392694064</v>
      </c>
      <c r="E10" s="298" t="n">
        <v>0</v>
      </c>
      <c r="F10" s="298" t="n">
        <f aca="false">1-D10</f>
        <v>0.730593607305936</v>
      </c>
      <c r="G10" s="298"/>
      <c r="H10" s="299" t="n">
        <f aca="false">SUM(D10:G10)</f>
        <v>1</v>
      </c>
      <c r="I10" s="297"/>
    </row>
    <row r="11" customFormat="false" ht="30" hidden="false" customHeight="true" outlineLevel="0" collapsed="false">
      <c r="A11" s="292" t="s">
        <v>602</v>
      </c>
      <c r="B11" s="293" t="str">
        <f aca="false">[1]SINTÉTICA!D22</f>
        <v>SISTEMA FOTOVOLTAICO CONECTADO À REDE</v>
      </c>
      <c r="C11" s="294" t="n">
        <f aca="false">SINTÉTICA!I22</f>
        <v>260781.45</v>
      </c>
      <c r="D11" s="295" t="n">
        <f aca="false">$C11*D12</f>
        <v>0</v>
      </c>
      <c r="E11" s="295" t="n">
        <f aca="false">$C11*E12</f>
        <v>3908.49</v>
      </c>
      <c r="F11" s="295" t="n">
        <f aca="false">$C11*F12</f>
        <v>250879.92</v>
      </c>
      <c r="G11" s="295" t="n">
        <f aca="false">$C11*G12</f>
        <v>5993.04</v>
      </c>
      <c r="H11" s="296" t="n">
        <f aca="false">SUM(D11:G11)</f>
        <v>260781.45</v>
      </c>
      <c r="I11" s="297"/>
    </row>
    <row r="12" s="300" customFormat="true" ht="30" hidden="false" customHeight="true" outlineLevel="0" collapsed="false">
      <c r="A12" s="292"/>
      <c r="B12" s="293"/>
      <c r="C12" s="294"/>
      <c r="D12" s="298"/>
      <c r="E12" s="298" t="n">
        <v>0.0149876074391027</v>
      </c>
      <c r="F12" s="298" t="n">
        <f aca="false">1-E12-G12</f>
        <v>0.962031310125778</v>
      </c>
      <c r="G12" s="298" t="n">
        <v>0.0229810824351195</v>
      </c>
      <c r="H12" s="299" t="n">
        <f aca="false">SUM(D12:G12)</f>
        <v>1</v>
      </c>
      <c r="I12" s="297"/>
    </row>
    <row r="13" s="300" customFormat="true" ht="30" hidden="false" customHeight="true" outlineLevel="0" collapsed="false">
      <c r="A13" s="292" t="s">
        <v>603</v>
      </c>
      <c r="B13" s="293" t="str">
        <f aca="false">[1]SINTÉTICA!D52</f>
        <v>ADMINISTRAÇÃO DE OBRA</v>
      </c>
      <c r="C13" s="294" t="n">
        <f aca="false">SINTÉTICA!I47</f>
        <v>10880</v>
      </c>
      <c r="D13" s="295" t="n">
        <f aca="false">$C13*D14</f>
        <v>34.7340393424591</v>
      </c>
      <c r="E13" s="295" t="n">
        <f aca="false">$C13*E14</f>
        <v>161.132846020994</v>
      </c>
      <c r="F13" s="295" t="n">
        <f aca="false">$C13*F14</f>
        <v>10437.0618437576</v>
      </c>
      <c r="G13" s="295" t="n">
        <f aca="false">$C13*G14</f>
        <v>247.071270878948</v>
      </c>
      <c r="H13" s="296" t="n">
        <f aca="false">SUM(D13:G13)</f>
        <v>10880</v>
      </c>
      <c r="I13" s="297"/>
    </row>
    <row r="14" s="300" customFormat="true" ht="30" hidden="false" customHeight="true" outlineLevel="0" collapsed="false">
      <c r="A14" s="292"/>
      <c r="B14" s="293"/>
      <c r="C14" s="294"/>
      <c r="D14" s="298" t="n">
        <f aca="false">SUM(D9,D11)/($C$18-$C$13)</f>
        <v>0.00319246685132896</v>
      </c>
      <c r="E14" s="298" t="n">
        <f aca="false">SUM(E9,E11)/($C$18-$C$13)</f>
        <v>0.0148100042298708</v>
      </c>
      <c r="F14" s="298" t="n">
        <f aca="false">SUM(F9,F11)/($C$18-$C$13)</f>
        <v>0.959288772404191</v>
      </c>
      <c r="G14" s="298" t="n">
        <f aca="false">SUM(G9,G11)/($C$18-$C$13)</f>
        <v>0.0227087565146092</v>
      </c>
      <c r="H14" s="299" t="n">
        <f aca="false">SUM(D14:G14)</f>
        <v>1</v>
      </c>
      <c r="I14" s="297"/>
    </row>
    <row r="15" s="300" customFormat="true" ht="30" hidden="false" customHeight="true" outlineLevel="0" collapsed="false">
      <c r="A15" s="301"/>
      <c r="B15" s="301"/>
      <c r="C15" s="301"/>
      <c r="D15" s="301"/>
      <c r="E15" s="301"/>
      <c r="F15" s="301"/>
      <c r="G15" s="301"/>
      <c r="H15" s="301"/>
      <c r="I15" s="297"/>
    </row>
    <row r="16" customFormat="false" ht="30" hidden="false" customHeight="true" outlineLevel="0" collapsed="false">
      <c r="A16" s="302"/>
      <c r="B16" s="303" t="s">
        <v>604</v>
      </c>
      <c r="C16" s="304"/>
      <c r="D16" s="305" t="n">
        <f aca="false">SUM(D9,D11,D13)</f>
        <v>877.254039342459</v>
      </c>
      <c r="E16" s="305" t="n">
        <f aca="false">SUM(E9,E11,E13)</f>
        <v>4069.62284602099</v>
      </c>
      <c r="F16" s="305" t="n">
        <f aca="false">SUM(F9,F11,F13)</f>
        <v>263601.781843758</v>
      </c>
      <c r="G16" s="305" t="n">
        <f aca="false">SUM(G9,G11,G13)</f>
        <v>6240.11127087895</v>
      </c>
      <c r="H16" s="305" t="n">
        <f aca="false">SUM(D16:G16)</f>
        <v>274788.77</v>
      </c>
      <c r="I16" s="306"/>
    </row>
    <row r="17" customFormat="false" ht="30" hidden="false" customHeight="true" outlineLevel="0" collapsed="false">
      <c r="A17" s="302"/>
      <c r="B17" s="303"/>
      <c r="C17" s="304"/>
      <c r="D17" s="307" t="n">
        <f aca="false">D16/$C18</f>
        <v>0.00319246685132896</v>
      </c>
      <c r="E17" s="307" t="n">
        <f aca="false">E16/$C18</f>
        <v>0.0148100042298708</v>
      </c>
      <c r="F17" s="307" t="n">
        <f aca="false">F16/$C18</f>
        <v>0.959288772404191</v>
      </c>
      <c r="G17" s="307" t="n">
        <f aca="false">G16/$C18</f>
        <v>0.0227087565146092</v>
      </c>
      <c r="H17" s="308" t="n">
        <f aca="false">H16/C18</f>
        <v>1</v>
      </c>
    </row>
    <row r="18" s="313" customFormat="true" ht="30" hidden="false" customHeight="true" outlineLevel="0" collapsed="false">
      <c r="A18" s="309"/>
      <c r="B18" s="310" t="s">
        <v>605</v>
      </c>
      <c r="C18" s="311" t="n">
        <f aca="false">SUM(C9:C14)</f>
        <v>274788.77</v>
      </c>
      <c r="D18" s="312" t="n">
        <f aca="false">D16</f>
        <v>877.254039342459</v>
      </c>
      <c r="E18" s="312" t="n">
        <f aca="false">D18+E16</f>
        <v>4946.87688536345</v>
      </c>
      <c r="F18" s="312" t="n">
        <f aca="false">E18+F16</f>
        <v>268548.658729121</v>
      </c>
      <c r="G18" s="312" t="n">
        <f aca="false">F18+G16</f>
        <v>274788.77</v>
      </c>
      <c r="H18" s="312" t="n">
        <f aca="false">G18</f>
        <v>274788.77</v>
      </c>
    </row>
    <row r="19" customFormat="false" ht="30" hidden="false" customHeight="true" outlineLevel="0" collapsed="false">
      <c r="A19" s="309"/>
      <c r="B19" s="310"/>
      <c r="C19" s="311"/>
      <c r="D19" s="307" t="n">
        <f aca="false">(D18/$C$18)</f>
        <v>0.00319246685132896</v>
      </c>
      <c r="E19" s="307" t="n">
        <f aca="false">(E18)/$C18</f>
        <v>0.0180024710811998</v>
      </c>
      <c r="F19" s="307" t="n">
        <f aca="false">(F18)/$C18</f>
        <v>0.977291243485391</v>
      </c>
      <c r="G19" s="307" t="n">
        <f aca="false">(G18)/$C18</f>
        <v>1</v>
      </c>
      <c r="H19" s="308" t="n">
        <f aca="false">G19</f>
        <v>1</v>
      </c>
    </row>
  </sheetData>
  <sheetProtection sheet="true" objects="true" scenarios="true"/>
  <mergeCells count="22">
    <mergeCell ref="D1:G1"/>
    <mergeCell ref="D2:G2"/>
    <mergeCell ref="D3:G3"/>
    <mergeCell ref="D4:G4"/>
    <mergeCell ref="D5:G5"/>
    <mergeCell ref="D6:G6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H15"/>
    <mergeCell ref="A16:A17"/>
    <mergeCell ref="B16:B17"/>
    <mergeCell ref="C16:C17"/>
    <mergeCell ref="A18:A19"/>
    <mergeCell ref="B18:B19"/>
    <mergeCell ref="C18:C19"/>
  </mergeCells>
  <conditionalFormatting sqref="D9:G9">
    <cfRule type="cellIs" priority="2" operator="notEqual" aboveAverage="0" equalAverage="0" bottom="0" percent="0" rank="0" text="" dxfId="0">
      <formula>0</formula>
    </cfRule>
  </conditionalFormatting>
  <conditionalFormatting sqref="D13:G13">
    <cfRule type="cellIs" priority="3" operator="notEqual" aboveAverage="0" equalAverage="0" bottom="0" percent="0" rank="0" text="" dxfId="1">
      <formula>0</formula>
    </cfRule>
  </conditionalFormatting>
  <conditionalFormatting sqref="D11:G11">
    <cfRule type="cellIs" priority="4" operator="notEqual" aboveAverage="0" equalAverage="0" bottom="0" percent="0" rank="0" text="" dxfId="2">
      <formula>0</formula>
    </cfRule>
  </conditionalFormatting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4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&amp;R&amp;P de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6"/>
  <sheetViews>
    <sheetView showFormulas="false" showGridLines="true" showRowColHeaders="true" showZeros="true" rightToLeft="false" tabSelected="false" showOutlineSymbols="true" defaultGridColor="true" view="normal" topLeftCell="A7" colorId="64" zoomScale="85" zoomScaleNormal="85" zoomScalePageLayoutView="100" workbookViewId="0">
      <selection pane="topLeft" activeCell="J17" activeCellId="0" sqref="J17"/>
    </sheetView>
  </sheetViews>
  <sheetFormatPr defaultRowHeight="12.5" zeroHeight="false" outlineLevelRow="0" outlineLevelCol="0"/>
  <cols>
    <col collapsed="false" customWidth="true" hidden="false" outlineLevel="0" max="1" min="1" style="314" width="8"/>
    <col collapsed="false" customWidth="true" hidden="false" outlineLevel="0" max="2" min="2" style="315" width="44.08"/>
    <col collapsed="false" customWidth="true" hidden="false" outlineLevel="0" max="6" min="3" style="314" width="12.5"/>
    <col collapsed="false" customWidth="true" hidden="false" outlineLevel="0" max="1025" min="7" style="314" width="9"/>
  </cols>
  <sheetData>
    <row r="1" s="317" customFormat="true" ht="14" hidden="false" customHeight="false" outlineLevel="0" collapsed="false">
      <c r="A1" s="316"/>
      <c r="B1" s="316"/>
      <c r="C1" s="316"/>
      <c r="D1" s="316"/>
      <c r="E1" s="316"/>
      <c r="F1" s="316"/>
    </row>
    <row r="2" s="317" customFormat="true" ht="14" hidden="false" customHeight="false" outlineLevel="0" collapsed="false">
      <c r="A2" s="318" t="s">
        <v>0</v>
      </c>
      <c r="B2" s="318"/>
      <c r="C2" s="318"/>
      <c r="D2" s="318"/>
      <c r="E2" s="318"/>
      <c r="F2" s="318"/>
    </row>
    <row r="3" s="317" customFormat="true" ht="14" hidden="false" customHeight="false" outlineLevel="0" collapsed="false">
      <c r="A3" s="318" t="s">
        <v>1</v>
      </c>
      <c r="B3" s="318"/>
      <c r="C3" s="318"/>
      <c r="D3" s="318"/>
      <c r="E3" s="318"/>
      <c r="F3" s="318"/>
    </row>
    <row r="4" s="317" customFormat="true" ht="14" hidden="false" customHeight="false" outlineLevel="0" collapsed="false">
      <c r="A4" s="316"/>
      <c r="B4" s="316"/>
      <c r="C4" s="316"/>
      <c r="D4" s="316"/>
      <c r="E4" s="316"/>
      <c r="F4" s="316"/>
    </row>
    <row r="5" s="317" customFormat="true" ht="14" hidden="false" customHeight="false" outlineLevel="0" collapsed="false">
      <c r="A5" s="319" t="str">
        <f aca="false">INSTRUÇÕES!A6</f>
        <v>OBRA: SFCR DA PROCURADORIA DA REPÚBLICA EM GOIÁS (PR-GO)</v>
      </c>
      <c r="B5" s="319"/>
      <c r="C5" s="319"/>
      <c r="D5" s="319"/>
      <c r="E5" s="319"/>
      <c r="F5" s="319"/>
    </row>
    <row r="6" s="317" customFormat="true" ht="14" hidden="false" customHeight="false" outlineLevel="0" collapsed="false">
      <c r="A6" s="320" t="s">
        <v>606</v>
      </c>
      <c r="B6" s="320"/>
      <c r="C6" s="320"/>
      <c r="D6" s="320"/>
      <c r="E6" s="320"/>
      <c r="F6" s="320"/>
    </row>
    <row r="7" s="317" customFormat="true" ht="14" hidden="false" customHeight="false" outlineLevel="0" collapsed="false">
      <c r="A7" s="321" t="str">
        <f aca="false">SINTÉTICA!E10</f>
        <v>REFERÊNCIA: SINAPI - GO - MAIO/22 (NÃO-DESONERADA)</v>
      </c>
      <c r="B7" s="321"/>
      <c r="C7" s="321"/>
      <c r="D7" s="321"/>
      <c r="E7" s="321"/>
      <c r="F7" s="321"/>
    </row>
    <row r="8" customFormat="false" ht="12.5" hidden="false" customHeight="false" outlineLevel="0" collapsed="false">
      <c r="A8" s="322"/>
      <c r="B8" s="322"/>
      <c r="C8" s="322"/>
      <c r="D8" s="322"/>
      <c r="E8" s="322"/>
      <c r="F8" s="322"/>
    </row>
    <row r="9" s="315" customFormat="true" ht="13" hidden="false" customHeight="true" outlineLevel="0" collapsed="false">
      <c r="A9" s="323" t="s">
        <v>18</v>
      </c>
      <c r="B9" s="323" t="s">
        <v>20</v>
      </c>
      <c r="C9" s="324" t="s">
        <v>607</v>
      </c>
      <c r="D9" s="324"/>
      <c r="E9" s="324" t="s">
        <v>608</v>
      </c>
      <c r="F9" s="324"/>
    </row>
    <row r="10" s="315" customFormat="true" ht="26" hidden="false" customHeight="false" outlineLevel="0" collapsed="false">
      <c r="A10" s="323"/>
      <c r="B10" s="323"/>
      <c r="C10" s="324" t="s">
        <v>609</v>
      </c>
      <c r="D10" s="324" t="s">
        <v>610</v>
      </c>
      <c r="E10" s="324" t="s">
        <v>609</v>
      </c>
      <c r="F10" s="324" t="s">
        <v>610</v>
      </c>
    </row>
    <row r="11" customFormat="false" ht="13" hidden="false" customHeight="false" outlineLevel="0" collapsed="false">
      <c r="A11" s="325" t="s">
        <v>611</v>
      </c>
      <c r="B11" s="325"/>
      <c r="C11" s="325"/>
      <c r="D11" s="325"/>
      <c r="E11" s="325"/>
      <c r="F11" s="325"/>
    </row>
    <row r="12" customFormat="false" ht="12.5" hidden="false" customHeight="false" outlineLevel="0" collapsed="false">
      <c r="A12" s="326" t="s">
        <v>612</v>
      </c>
      <c r="B12" s="327" t="s">
        <v>613</v>
      </c>
      <c r="C12" s="328" t="n">
        <v>0</v>
      </c>
      <c r="D12" s="328" t="n">
        <v>0</v>
      </c>
      <c r="E12" s="328" t="n">
        <v>0.2</v>
      </c>
      <c r="F12" s="328" t="n">
        <v>0.2</v>
      </c>
    </row>
    <row r="13" customFormat="false" ht="12.5" hidden="false" customHeight="false" outlineLevel="0" collapsed="false">
      <c r="A13" s="326" t="s">
        <v>614</v>
      </c>
      <c r="B13" s="327" t="s">
        <v>615</v>
      </c>
      <c r="C13" s="328" t="n">
        <v>0.015</v>
      </c>
      <c r="D13" s="328" t="n">
        <v>0.015</v>
      </c>
      <c r="E13" s="328" t="n">
        <v>0.015</v>
      </c>
      <c r="F13" s="328" t="n">
        <v>0.015</v>
      </c>
    </row>
    <row r="14" customFormat="false" ht="12.5" hidden="false" customHeight="false" outlineLevel="0" collapsed="false">
      <c r="A14" s="326" t="s">
        <v>616</v>
      </c>
      <c r="B14" s="327" t="s">
        <v>617</v>
      </c>
      <c r="C14" s="328" t="n">
        <v>0.01</v>
      </c>
      <c r="D14" s="328" t="n">
        <v>0.01</v>
      </c>
      <c r="E14" s="328" t="n">
        <v>0.01</v>
      </c>
      <c r="F14" s="328" t="n">
        <v>0.01</v>
      </c>
    </row>
    <row r="15" customFormat="false" ht="12.5" hidden="false" customHeight="false" outlineLevel="0" collapsed="false">
      <c r="A15" s="326" t="s">
        <v>618</v>
      </c>
      <c r="B15" s="327" t="s">
        <v>619</v>
      </c>
      <c r="C15" s="328" t="n">
        <v>0.002</v>
      </c>
      <c r="D15" s="328" t="n">
        <v>0.002</v>
      </c>
      <c r="E15" s="328" t="n">
        <v>0.002</v>
      </c>
      <c r="F15" s="328" t="n">
        <v>0.002</v>
      </c>
    </row>
    <row r="16" customFormat="false" ht="12.5" hidden="false" customHeight="false" outlineLevel="0" collapsed="false">
      <c r="A16" s="326" t="s">
        <v>620</v>
      </c>
      <c r="B16" s="327" t="s">
        <v>621</v>
      </c>
      <c r="C16" s="328" t="n">
        <v>0.006</v>
      </c>
      <c r="D16" s="328" t="n">
        <v>0.006</v>
      </c>
      <c r="E16" s="328" t="n">
        <v>0.006</v>
      </c>
      <c r="F16" s="328" t="n">
        <v>0.006</v>
      </c>
    </row>
    <row r="17" customFormat="false" ht="12.5" hidden="false" customHeight="false" outlineLevel="0" collapsed="false">
      <c r="A17" s="326" t="s">
        <v>622</v>
      </c>
      <c r="B17" s="327" t="s">
        <v>623</v>
      </c>
      <c r="C17" s="328" t="n">
        <v>0.025</v>
      </c>
      <c r="D17" s="328" t="n">
        <v>0.025</v>
      </c>
      <c r="E17" s="328" t="n">
        <v>0.025</v>
      </c>
      <c r="F17" s="328" t="n">
        <v>0.025</v>
      </c>
    </row>
    <row r="18" customFormat="false" ht="12.5" hidden="false" customHeight="false" outlineLevel="0" collapsed="false">
      <c r="A18" s="326" t="s">
        <v>624</v>
      </c>
      <c r="B18" s="327" t="s">
        <v>625</v>
      </c>
      <c r="C18" s="328" t="n">
        <v>0.03</v>
      </c>
      <c r="D18" s="328" t="n">
        <v>0.03</v>
      </c>
      <c r="E18" s="328" t="n">
        <v>0.03</v>
      </c>
      <c r="F18" s="328" t="n">
        <v>0.03</v>
      </c>
    </row>
    <row r="19" customFormat="false" ht="12.5" hidden="false" customHeight="false" outlineLevel="0" collapsed="false">
      <c r="A19" s="326" t="s">
        <v>626</v>
      </c>
      <c r="B19" s="327" t="s">
        <v>627</v>
      </c>
      <c r="C19" s="328" t="n">
        <v>0.08</v>
      </c>
      <c r="D19" s="328" t="n">
        <v>0.08</v>
      </c>
      <c r="E19" s="328" t="n">
        <v>0.08</v>
      </c>
      <c r="F19" s="328" t="n">
        <v>0.08</v>
      </c>
    </row>
    <row r="20" customFormat="false" ht="12.5" hidden="false" customHeight="false" outlineLevel="0" collapsed="false">
      <c r="A20" s="326" t="s">
        <v>628</v>
      </c>
      <c r="B20" s="327" t="s">
        <v>629</v>
      </c>
      <c r="C20" s="328" t="n">
        <v>0.01</v>
      </c>
      <c r="D20" s="328" t="n">
        <v>0.01</v>
      </c>
      <c r="E20" s="328" t="n">
        <v>0.01</v>
      </c>
      <c r="F20" s="328" t="n">
        <v>0.01</v>
      </c>
    </row>
    <row r="21" customFormat="false" ht="13" hidden="false" customHeight="false" outlineLevel="0" collapsed="false">
      <c r="A21" s="329" t="s">
        <v>630</v>
      </c>
      <c r="B21" s="330" t="s">
        <v>131</v>
      </c>
      <c r="C21" s="331" t="n">
        <f aca="false">SUM(C12:C20)</f>
        <v>0.178</v>
      </c>
      <c r="D21" s="331" t="n">
        <f aca="false">SUM(D12:D20)</f>
        <v>0.178</v>
      </c>
      <c r="E21" s="331" t="n">
        <f aca="false">SUM(E12:E20)</f>
        <v>0.378</v>
      </c>
      <c r="F21" s="331" t="n">
        <f aca="false">SUM(F12:F20)</f>
        <v>0.378</v>
      </c>
    </row>
    <row r="22" customFormat="false" ht="13" hidden="false" customHeight="false" outlineLevel="0" collapsed="false">
      <c r="A22" s="325" t="s">
        <v>631</v>
      </c>
      <c r="B22" s="325"/>
      <c r="C22" s="325"/>
      <c r="D22" s="325"/>
      <c r="E22" s="325"/>
      <c r="F22" s="325"/>
    </row>
    <row r="23" customFormat="false" ht="12.5" hidden="false" customHeight="false" outlineLevel="0" collapsed="false">
      <c r="A23" s="326" t="s">
        <v>632</v>
      </c>
      <c r="B23" s="327" t="s">
        <v>633</v>
      </c>
      <c r="C23" s="328" t="n">
        <v>0.1781</v>
      </c>
      <c r="D23" s="332" t="s">
        <v>634</v>
      </c>
      <c r="E23" s="328" t="n">
        <v>0.1781</v>
      </c>
      <c r="F23" s="332" t="s">
        <v>634</v>
      </c>
    </row>
    <row r="24" customFormat="false" ht="12.5" hidden="false" customHeight="false" outlineLevel="0" collapsed="false">
      <c r="A24" s="326" t="s">
        <v>635</v>
      </c>
      <c r="B24" s="327" t="s">
        <v>636</v>
      </c>
      <c r="C24" s="328" t="n">
        <v>0.037</v>
      </c>
      <c r="D24" s="332" t="s">
        <v>634</v>
      </c>
      <c r="E24" s="328" t="n">
        <v>0.037</v>
      </c>
      <c r="F24" s="332" t="s">
        <v>634</v>
      </c>
    </row>
    <row r="25" customFormat="false" ht="12.5" hidden="false" customHeight="false" outlineLevel="0" collapsed="false">
      <c r="A25" s="326" t="s">
        <v>637</v>
      </c>
      <c r="B25" s="327" t="s">
        <v>638</v>
      </c>
      <c r="C25" s="328" t="n">
        <v>0.0132</v>
      </c>
      <c r="D25" s="328" t="n">
        <v>0.0082</v>
      </c>
      <c r="E25" s="328" t="n">
        <v>0.0132</v>
      </c>
      <c r="F25" s="328" t="n">
        <v>0.0082</v>
      </c>
    </row>
    <row r="26" customFormat="false" ht="12.5" hidden="false" customHeight="false" outlineLevel="0" collapsed="false">
      <c r="A26" s="326" t="s">
        <v>639</v>
      </c>
      <c r="B26" s="327" t="s">
        <v>640</v>
      </c>
      <c r="C26" s="328" t="n">
        <v>0.1085</v>
      </c>
      <c r="D26" s="328" t="n">
        <v>0.0833</v>
      </c>
      <c r="E26" s="328" t="n">
        <v>0.1085</v>
      </c>
      <c r="F26" s="328" t="n">
        <v>0.0833</v>
      </c>
      <c r="H26" s="333"/>
    </row>
    <row r="27" customFormat="false" ht="12.5" hidden="false" customHeight="false" outlineLevel="0" collapsed="false">
      <c r="A27" s="326" t="s">
        <v>641</v>
      </c>
      <c r="B27" s="327" t="s">
        <v>642</v>
      </c>
      <c r="C27" s="328" t="n">
        <v>0.0007</v>
      </c>
      <c r="D27" s="328" t="n">
        <v>0.0006</v>
      </c>
      <c r="E27" s="328" t="n">
        <v>0.0007</v>
      </c>
      <c r="F27" s="328" t="n">
        <v>0.0006</v>
      </c>
      <c r="H27" s="333"/>
    </row>
    <row r="28" customFormat="false" ht="12.5" hidden="false" customHeight="false" outlineLevel="0" collapsed="false">
      <c r="A28" s="326" t="s">
        <v>643</v>
      </c>
      <c r="B28" s="327" t="s">
        <v>644</v>
      </c>
      <c r="C28" s="328" t="n">
        <v>0.0072</v>
      </c>
      <c r="D28" s="328" t="n">
        <v>0.0056</v>
      </c>
      <c r="E28" s="328" t="n">
        <v>0.0072</v>
      </c>
      <c r="F28" s="328" t="n">
        <v>0.0056</v>
      </c>
      <c r="H28" s="333"/>
    </row>
    <row r="29" customFormat="false" ht="12.5" hidden="false" customHeight="false" outlineLevel="0" collapsed="false">
      <c r="A29" s="326" t="s">
        <v>645</v>
      </c>
      <c r="B29" s="327" t="s">
        <v>646</v>
      </c>
      <c r="C29" s="328" t="n">
        <v>0.0137</v>
      </c>
      <c r="D29" s="332" t="s">
        <v>634</v>
      </c>
      <c r="E29" s="328" t="n">
        <v>0.0137</v>
      </c>
      <c r="F29" s="332" t="s">
        <v>634</v>
      </c>
    </row>
    <row r="30" customFormat="false" ht="12.5" hidden="false" customHeight="false" outlineLevel="0" collapsed="false">
      <c r="A30" s="326" t="s">
        <v>647</v>
      </c>
      <c r="B30" s="327" t="s">
        <v>648</v>
      </c>
      <c r="C30" s="328" t="n">
        <v>0.0011</v>
      </c>
      <c r="D30" s="328" t="n">
        <v>0.0008</v>
      </c>
      <c r="E30" s="328" t="n">
        <v>0.0011</v>
      </c>
      <c r="F30" s="328" t="n">
        <v>0.0008</v>
      </c>
    </row>
    <row r="31" customFormat="false" ht="12.5" hidden="false" customHeight="false" outlineLevel="0" collapsed="false">
      <c r="A31" s="326" t="s">
        <v>649</v>
      </c>
      <c r="B31" s="327" t="s">
        <v>650</v>
      </c>
      <c r="C31" s="328" t="n">
        <v>0.0982</v>
      </c>
      <c r="D31" s="328" t="n">
        <v>0.0754</v>
      </c>
      <c r="E31" s="328" t="n">
        <v>0.0982</v>
      </c>
      <c r="F31" s="328" t="n">
        <v>0.0754</v>
      </c>
    </row>
    <row r="32" customFormat="false" ht="12.5" hidden="false" customHeight="false" outlineLevel="0" collapsed="false">
      <c r="A32" s="326" t="s">
        <v>651</v>
      </c>
      <c r="B32" s="327" t="s">
        <v>652</v>
      </c>
      <c r="C32" s="328" t="n">
        <v>0.0003</v>
      </c>
      <c r="D32" s="328" t="n">
        <v>0.0003</v>
      </c>
      <c r="E32" s="328" t="n">
        <v>0.0003</v>
      </c>
      <c r="F32" s="328" t="n">
        <v>0.0003</v>
      </c>
    </row>
    <row r="33" customFormat="false" ht="13" hidden="false" customHeight="false" outlineLevel="0" collapsed="false">
      <c r="A33" s="329" t="s">
        <v>653</v>
      </c>
      <c r="B33" s="330" t="s">
        <v>131</v>
      </c>
      <c r="C33" s="331" t="n">
        <f aca="false">SUM(C23:C32)</f>
        <v>0.458</v>
      </c>
      <c r="D33" s="331" t="n">
        <f aca="false">SUM(D23:D32)</f>
        <v>0.1742</v>
      </c>
      <c r="E33" s="331" t="n">
        <f aca="false">SUM(E23:E32)</f>
        <v>0.458</v>
      </c>
      <c r="F33" s="331" t="n">
        <f aca="false">SUM(F23:F32)</f>
        <v>0.1742</v>
      </c>
    </row>
    <row r="34" customFormat="false" ht="13" hidden="false" customHeight="false" outlineLevel="0" collapsed="false">
      <c r="A34" s="325" t="s">
        <v>654</v>
      </c>
      <c r="B34" s="325"/>
      <c r="C34" s="325"/>
      <c r="D34" s="325"/>
      <c r="E34" s="325"/>
      <c r="F34" s="325"/>
    </row>
    <row r="35" customFormat="false" ht="12.5" hidden="false" customHeight="false" outlineLevel="0" collapsed="false">
      <c r="A35" s="326" t="s">
        <v>655</v>
      </c>
      <c r="B35" s="327" t="s">
        <v>656</v>
      </c>
      <c r="C35" s="328" t="n">
        <v>0.0573</v>
      </c>
      <c r="D35" s="328" t="n">
        <v>0.044</v>
      </c>
      <c r="E35" s="328" t="n">
        <v>0.0573</v>
      </c>
      <c r="F35" s="328" t="n">
        <v>0.044</v>
      </c>
    </row>
    <row r="36" customFormat="false" ht="12.5" hidden="false" customHeight="false" outlineLevel="0" collapsed="false">
      <c r="A36" s="326" t="s">
        <v>657</v>
      </c>
      <c r="B36" s="327" t="s">
        <v>658</v>
      </c>
      <c r="C36" s="328" t="n">
        <v>0.0014</v>
      </c>
      <c r="D36" s="328" t="n">
        <v>0.001</v>
      </c>
      <c r="E36" s="328" t="n">
        <v>0.0014</v>
      </c>
      <c r="F36" s="328" t="n">
        <v>0.001</v>
      </c>
    </row>
    <row r="37" customFormat="false" ht="12.5" hidden="false" customHeight="false" outlineLevel="0" collapsed="false">
      <c r="A37" s="326" t="s">
        <v>659</v>
      </c>
      <c r="B37" s="327" t="s">
        <v>660</v>
      </c>
      <c r="C37" s="328" t="n">
        <v>0.0386</v>
      </c>
      <c r="D37" s="328" t="n">
        <v>0.0297</v>
      </c>
      <c r="E37" s="328" t="n">
        <v>0.0386</v>
      </c>
      <c r="F37" s="328" t="n">
        <v>0.0297</v>
      </c>
    </row>
    <row r="38" customFormat="false" ht="12.5" hidden="false" customHeight="false" outlineLevel="0" collapsed="false">
      <c r="A38" s="326" t="s">
        <v>661</v>
      </c>
      <c r="B38" s="327" t="s">
        <v>662</v>
      </c>
      <c r="C38" s="328" t="n">
        <v>0.0369</v>
      </c>
      <c r="D38" s="328" t="n">
        <v>0.0283</v>
      </c>
      <c r="E38" s="328" t="n">
        <v>0.0369</v>
      </c>
      <c r="F38" s="328" t="n">
        <v>0.0283</v>
      </c>
    </row>
    <row r="39" customFormat="false" ht="12.5" hidden="false" customHeight="false" outlineLevel="0" collapsed="false">
      <c r="A39" s="326" t="s">
        <v>663</v>
      </c>
      <c r="B39" s="327" t="s">
        <v>664</v>
      </c>
      <c r="C39" s="328" t="n">
        <v>0.0048</v>
      </c>
      <c r="D39" s="328" t="n">
        <v>0.0037</v>
      </c>
      <c r="E39" s="328" t="n">
        <v>0.0048</v>
      </c>
      <c r="F39" s="328" t="n">
        <v>0.0037</v>
      </c>
    </row>
    <row r="40" customFormat="false" ht="13" hidden="false" customHeight="false" outlineLevel="0" collapsed="false">
      <c r="A40" s="329" t="s">
        <v>665</v>
      </c>
      <c r="B40" s="330" t="s">
        <v>131</v>
      </c>
      <c r="C40" s="331" t="n">
        <f aca="false">SUM(C35:C39)</f>
        <v>0.139</v>
      </c>
      <c r="D40" s="331" t="n">
        <f aca="false">SUM(D35:D39)</f>
        <v>0.1067</v>
      </c>
      <c r="E40" s="331" t="n">
        <f aca="false">SUM(E35:E39)</f>
        <v>0.139</v>
      </c>
      <c r="F40" s="331" t="n">
        <f aca="false">SUM(F35:F39)</f>
        <v>0.1067</v>
      </c>
    </row>
    <row r="41" customFormat="false" ht="13" hidden="false" customHeight="false" outlineLevel="0" collapsed="false">
      <c r="A41" s="325" t="s">
        <v>666</v>
      </c>
      <c r="B41" s="325"/>
      <c r="C41" s="325"/>
      <c r="D41" s="325"/>
      <c r="E41" s="325"/>
      <c r="F41" s="325"/>
    </row>
    <row r="42" customFormat="false" ht="12.5" hidden="false" customHeight="false" outlineLevel="0" collapsed="false">
      <c r="A42" s="326" t="s">
        <v>667</v>
      </c>
      <c r="B42" s="327" t="s">
        <v>668</v>
      </c>
      <c r="C42" s="328" t="n">
        <v>0.0807</v>
      </c>
      <c r="D42" s="328" t="n">
        <v>0.0307</v>
      </c>
      <c r="E42" s="328" t="n">
        <v>0.1741</v>
      </c>
      <c r="F42" s="328" t="n">
        <v>0.0653</v>
      </c>
    </row>
    <row r="43" customFormat="false" ht="25" hidden="false" customHeight="false" outlineLevel="0" collapsed="false">
      <c r="A43" s="326" t="s">
        <v>669</v>
      </c>
      <c r="B43" s="327" t="s">
        <v>670</v>
      </c>
      <c r="C43" s="328" t="n">
        <v>0.0048</v>
      </c>
      <c r="D43" s="328" t="n">
        <v>0.0037</v>
      </c>
      <c r="E43" s="328" t="n">
        <v>0.0051</v>
      </c>
      <c r="F43" s="328" t="n">
        <v>0.0039</v>
      </c>
    </row>
    <row r="44" customFormat="false" ht="13" hidden="false" customHeight="false" outlineLevel="0" collapsed="false">
      <c r="A44" s="329" t="s">
        <v>671</v>
      </c>
      <c r="B44" s="330" t="s">
        <v>131</v>
      </c>
      <c r="C44" s="331" t="n">
        <f aca="false">SUM(C42:C43)</f>
        <v>0.0855</v>
      </c>
      <c r="D44" s="331" t="n">
        <f aca="false">SUM(D42:D43)</f>
        <v>0.0344</v>
      </c>
      <c r="E44" s="331" t="n">
        <f aca="false">SUM(E42:E43)</f>
        <v>0.1792</v>
      </c>
      <c r="F44" s="331" t="n">
        <f aca="false">SUM(F42:F43)</f>
        <v>0.0692</v>
      </c>
    </row>
    <row r="45" customFormat="false" ht="12.5" hidden="false" customHeight="false" outlineLevel="0" collapsed="false">
      <c r="A45" s="334"/>
      <c r="B45" s="334"/>
      <c r="C45" s="334"/>
      <c r="D45" s="334"/>
      <c r="E45" s="334"/>
      <c r="F45" s="334"/>
    </row>
    <row r="46" customFormat="false" ht="13" hidden="false" customHeight="false" outlineLevel="0" collapsed="false">
      <c r="A46" s="335" t="s">
        <v>672</v>
      </c>
      <c r="B46" s="335"/>
      <c r="C46" s="336" t="n">
        <f aca="false">SUM(C21,C33,C40,C44)</f>
        <v>0.8605</v>
      </c>
      <c r="D46" s="336" t="n">
        <f aca="false">SUM(D21,D33,D40,D44)</f>
        <v>0.4933</v>
      </c>
      <c r="E46" s="336" t="n">
        <f aca="false">SUM(E21,E33,E40,E44)</f>
        <v>1.1542</v>
      </c>
      <c r="F46" s="336" t="n">
        <f aca="false">SUM(F21,F33,F40,F44)</f>
        <v>0.7281</v>
      </c>
    </row>
  </sheetData>
  <sheetProtection sheet="true" objects="true" scenarios="true"/>
  <mergeCells count="18">
    <mergeCell ref="A1:F1"/>
    <mergeCell ref="A2:F2"/>
    <mergeCell ref="A3:F3"/>
    <mergeCell ref="A4:F4"/>
    <mergeCell ref="A5:F5"/>
    <mergeCell ref="A6:F6"/>
    <mergeCell ref="A7:F7"/>
    <mergeCell ref="A8:F8"/>
    <mergeCell ref="A9:A10"/>
    <mergeCell ref="B9:B10"/>
    <mergeCell ref="C9:D9"/>
    <mergeCell ref="E9:F9"/>
    <mergeCell ref="A11:F11"/>
    <mergeCell ref="A22:F22"/>
    <mergeCell ref="A34:F34"/>
    <mergeCell ref="A41:F41"/>
    <mergeCell ref="A45:F45"/>
    <mergeCell ref="A46:B46"/>
  </mergeCells>
  <printOptions headings="false" gridLines="false" gridLinesSet="true" horizontalCentered="false" verticalCentered="false"/>
  <pageMargins left="0.511805555555555" right="0.511805555555555" top="0.7875" bottom="0.7875" header="0.511805555555555" footer="0.315277777777778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LibreOffice/5.4.5.1$Windows_x86 LibreOffice_project/79c9829dd5d8054ec39a82dc51cd9eff340dbee8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2019-09-02T19:42:34Z</dcterms:created>
  <dc:creator>axlsx</dc:creator>
  <dc:description/>
  <dc:language>pt-BR</dc:language>
  <cp:lastModifiedBy>Aldo Farias</cp:lastModifiedBy>
  <cp:lastPrinted>2022-07-01T14:13:51Z</cp:lastPrinted>
  <dcterms:modified xsi:type="dcterms:W3CDTF">2022-07-01T14:14:26Z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